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workspace\HGC_jimu\Forms\利用申請書\trunk\"/>
    </mc:Choice>
  </mc:AlternateContent>
  <workbookProtection workbookAlgorithmName="SHA-512" workbookHashValue="CKreHAt608uVLN2typuYlTFjAOQnHMo9Mug7Jtg5vgfg5ljGW1Ud3TquFL0xufnCXg21BQg65gYo3/DMFjUIvw==" workbookSaltValue="BGfFXM9Zo3S4qPo2fRcsBg==" workbookSpinCount="100000" lockStructure="1"/>
  <bookViews>
    <workbookView xWindow="-33500" yWindow="0" windowWidth="32780" windowHeight="24050" tabRatio="680"/>
  </bookViews>
  <sheets>
    <sheet name="Notes" sheetId="7" r:id="rId1"/>
    <sheet name="Input sheet 1" sheetId="1" r:id="rId2"/>
    <sheet name="Input sheet 2" sheetId="3" r:id="rId3"/>
    <sheet name="Input sheet 3" sheetId="4" r:id="rId4"/>
    <sheet name="Input sheet 4" sheetId="5" r:id="rId5"/>
    <sheet name="Application sheet" sheetId="6" r:id="rId6"/>
    <sheet name="banana" sheetId="2" state="hidden" r:id="rId7"/>
    <sheet name="avocado" sheetId="8" state="hidden" r:id="rId8"/>
    <sheet name="C" sheetId="10" state="hidden" r:id="rId9"/>
    <sheet name="M" sheetId="9" state="hidden" r:id="rId10"/>
    <sheet name="S" sheetId="11" state="hidden" r:id="rId11"/>
    <sheet name="S1" sheetId="12" state="hidden" r:id="rId12"/>
    <sheet name="N" sheetId="13" state="hidden" r:id="rId13"/>
    <sheet name="N1" sheetId="14" state="hidden" r:id="rId14"/>
  </sheets>
  <definedNames>
    <definedName name="ADDAA1">'Input sheet 3'!$M$31</definedName>
    <definedName name="ADDAA10">'Input sheet 3'!$J$31</definedName>
    <definedName name="ADDAA11">'Input sheet 3'!$K$31</definedName>
    <definedName name="ADDAA12">'Input sheet 3'!$L$31</definedName>
    <definedName name="ADDAA2">'Input sheet 3'!$N$31</definedName>
    <definedName name="ADDAA3">'Input sheet 3'!$O$31</definedName>
    <definedName name="ADDAA4">'Input sheet 3'!$D$31</definedName>
    <definedName name="ADDAA5">'Input sheet 3'!$E$31</definedName>
    <definedName name="ADDAA6">'Input sheet 3'!$F$31</definedName>
    <definedName name="ADDAA7">'Input sheet 3'!$G$31</definedName>
    <definedName name="ADDAA8">'Input sheet 3'!$H$31</definedName>
    <definedName name="ADDAA9">'Input sheet 3'!$I$31</definedName>
    <definedName name="ADDAD1">'Input sheet 3'!$M$37</definedName>
    <definedName name="ADDAD10">'Input sheet 3'!$J$37</definedName>
    <definedName name="ADDAD11">'Input sheet 3'!$K$37</definedName>
    <definedName name="ADDAD12">'Input sheet 3'!$L$37</definedName>
    <definedName name="ADDAD2">'Input sheet 3'!$N$37</definedName>
    <definedName name="ADDAD3">'Input sheet 3'!$O$37</definedName>
    <definedName name="ADDAD4">'Input sheet 3'!$D$37</definedName>
    <definedName name="ADDAD5">'Input sheet 3'!$E$37</definedName>
    <definedName name="ADDAD6">'Input sheet 3'!$F$37</definedName>
    <definedName name="ADDAD7">'Input sheet 3'!$G$37</definedName>
    <definedName name="ADDAD8">'Input sheet 3'!$H$37</definedName>
    <definedName name="ADDAD9">'Input sheet 3'!$I$37</definedName>
    <definedName name="ADDAH1">'Input sheet 3'!$M$33</definedName>
    <definedName name="ADDAH10">'Input sheet 3'!$J$33</definedName>
    <definedName name="ADDAH11">'Input sheet 3'!$K$33</definedName>
    <definedName name="ADDAH12">'Input sheet 3'!$L$33</definedName>
    <definedName name="ADDAH2">'Input sheet 3'!$N$33</definedName>
    <definedName name="ADDAH3">'Input sheet 3'!$O$33</definedName>
    <definedName name="ADDAH4">'Input sheet 3'!$D$33</definedName>
    <definedName name="ADDAH5">'Input sheet 3'!$E$33</definedName>
    <definedName name="ADDAH6">'Input sheet 3'!$F$33</definedName>
    <definedName name="ADDAH7">'Input sheet 3'!$G$33</definedName>
    <definedName name="ADDAH8">'Input sheet 3'!$H$33</definedName>
    <definedName name="ADDAH9">'Input sheet 3'!$I$33</definedName>
    <definedName name="ADDAV1">'Input sheet 3'!$M$29</definedName>
    <definedName name="ADDAV10">'Input sheet 3'!$J$29</definedName>
    <definedName name="ADDAV11">'Input sheet 3'!$K$29</definedName>
    <definedName name="ADDAV12">'Input sheet 3'!$L$29</definedName>
    <definedName name="ADDAV2">'Input sheet 3'!$N$29</definedName>
    <definedName name="ADDAV3">'Input sheet 3'!$O$29</definedName>
    <definedName name="ADDAV4">'Input sheet 3'!$D$29</definedName>
    <definedName name="ADDAV5">'Input sheet 3'!$E$29</definedName>
    <definedName name="ADDAV6">'Input sheet 3'!$F$29</definedName>
    <definedName name="ADDAV7">'Input sheet 3'!$G$29</definedName>
    <definedName name="ADDAV8">'Input sheet 3'!$H$29</definedName>
    <definedName name="ADDAV9">'Input sheet 3'!$I$29</definedName>
    <definedName name="ADDEX1">'Input sheet 3'!$M$23</definedName>
    <definedName name="ADDEX10">'Input sheet 3'!$J$23</definedName>
    <definedName name="ADDEX11">'Input sheet 3'!$K$23</definedName>
    <definedName name="ADDEX12">'Input sheet 3'!$L$23</definedName>
    <definedName name="ADDEX2">'Input sheet 3'!$N$23</definedName>
    <definedName name="ADDEX3">'Input sheet 3'!$O$23</definedName>
    <definedName name="ADDEX4">'Input sheet 3'!$D$23</definedName>
    <definedName name="ADDEX5">'Input sheet 3'!$E$23</definedName>
    <definedName name="ADDEX6">'Input sheet 3'!$F$23</definedName>
    <definedName name="ADDEX7">'Input sheet 3'!$G$23</definedName>
    <definedName name="ADDEX8">'Input sheet 3'!$H$23</definedName>
    <definedName name="ADDEX9">'Input sheet 3'!$I$23</definedName>
    <definedName name="ADDFA1">'Input sheet 3'!$M$27</definedName>
    <definedName name="ADDFA10">'Input sheet 3'!$J$27</definedName>
    <definedName name="ADDFA11">'Input sheet 3'!$K$27</definedName>
    <definedName name="ADDFA12">'Input sheet 3'!$L$27</definedName>
    <definedName name="ADDFA2">'Input sheet 3'!$N$27</definedName>
    <definedName name="ADDFA3">'Input sheet 3'!$O$27</definedName>
    <definedName name="ADDFA4">'Input sheet 3'!$D$27</definedName>
    <definedName name="ADDFA5">'Input sheet 3'!$E$27</definedName>
    <definedName name="ADDFA6">'Input sheet 3'!$F$27</definedName>
    <definedName name="ADDFA7">'Input sheet 3'!$G$27</definedName>
    <definedName name="ADDFA8">'Input sheet 3'!$H$27</definedName>
    <definedName name="ADDFA9">'Input sheet 3'!$I$27</definedName>
    <definedName name="ADDHD1">'Input sheet 3'!$M$35</definedName>
    <definedName name="ADDHD10">'Input sheet 3'!$J$35</definedName>
    <definedName name="ADDHD11">'Input sheet 3'!$K$35</definedName>
    <definedName name="ADDHD12">'Input sheet 3'!$L$35</definedName>
    <definedName name="ADDHD2">'Input sheet 3'!$N$35</definedName>
    <definedName name="ADDHD3">'Input sheet 3'!$O$35</definedName>
    <definedName name="ADDHD4">'Input sheet 3'!$D$35</definedName>
    <definedName name="ADDHD5">'Input sheet 3'!$E$35</definedName>
    <definedName name="ADDHD6">'Input sheet 3'!$F$35</definedName>
    <definedName name="ADDHD7">'Input sheet 3'!$G$35</definedName>
    <definedName name="ADDHD8">'Input sheet 3'!$H$35</definedName>
    <definedName name="ADDHD9">'Input sheet 3'!$I$35</definedName>
    <definedName name="ADDSH1">'Input sheet 3'!$M$25</definedName>
    <definedName name="ADDSH10">'Input sheet 3'!$J$25</definedName>
    <definedName name="ADDSH11">'Input sheet 3'!$K$25</definedName>
    <definedName name="ADDSH12">'Input sheet 3'!$L$25</definedName>
    <definedName name="ADDSH2">'Input sheet 3'!$N$25</definedName>
    <definedName name="ADDSH3">'Input sheet 3'!$O$25</definedName>
    <definedName name="ADDSH4">'Input sheet 3'!$D$25</definedName>
    <definedName name="ADDSH5">'Input sheet 3'!$E$25</definedName>
    <definedName name="ADDSH6">'Input sheet 3'!$F$25</definedName>
    <definedName name="ADDSH7">'Input sheet 3'!$G$25</definedName>
    <definedName name="ADDSH8">'Input sheet 3'!$H$25</definedName>
    <definedName name="ADDSH9">'Input sheet 3'!$I$25</definedName>
    <definedName name="APPDATE">'Input sheet 1'!$B$12</definedName>
    <definedName name="APPSEC">'Input sheet 1'!$B$33</definedName>
    <definedName name="APPSECTION">'Input sheet 1'!$B$38</definedName>
    <definedName name="BILLFORM">'Input sheet 2'!$C$71</definedName>
    <definedName name="BILLNOTE">'Input sheet 2'!$C$66</definedName>
    <definedName name="BILLSEND">'Input sheet 2'!$C$58</definedName>
    <definedName name="BILLSENDEX">'Input sheet 2'!$C$61</definedName>
    <definedName name="BILLTO">'Input sheet 2'!$C$53</definedName>
    <definedName name="COURSE1">'Input sheet 3'!$M$21</definedName>
    <definedName name="COURSE10">'Input sheet 3'!$J$21</definedName>
    <definedName name="COURSE11">'Input sheet 3'!$K$21</definedName>
    <definedName name="COURSE12">'Input sheet 3'!$L$21</definedName>
    <definedName name="COURSE2">'Input sheet 3'!$N$21</definedName>
    <definedName name="COURSE3">'Input sheet 3'!$O$21</definedName>
    <definedName name="COURSE4">'Input sheet 3'!$D$21</definedName>
    <definedName name="COURSE5">'Input sheet 3'!$E$21</definedName>
    <definedName name="COURSE6">'Input sheet 3'!$F$21</definedName>
    <definedName name="COURSE7">'Input sheet 3'!$G$21</definedName>
    <definedName name="COURSE8">'Input sheet 3'!$H$21</definedName>
    <definedName name="COURSE9">'Input sheet 3'!$I$21</definedName>
    <definedName name="ENDM">'Input sheet 3'!$B$13</definedName>
    <definedName name="FINAADDR">'Input sheet 2'!$C$35</definedName>
    <definedName name="FINAAFFI">'Input sheet 2'!$C$25</definedName>
    <definedName name="FINAJOB">'Input sheet 2'!$C$10</definedName>
    <definedName name="FINAKANA">'Input sheet 2'!$C$20</definedName>
    <definedName name="FINANAME">'Input sheet 2'!$C$15</definedName>
    <definedName name="FINAPOST">'Input sheet 2'!$C$30</definedName>
    <definedName name="FINATEL">'Input sheet 2'!$C$40</definedName>
    <definedName name="FINAUTT">'Input sheet 2'!$C$46</definedName>
    <definedName name="G1ST">'Input sheet 1'!$D$58</definedName>
    <definedName name="G2ND">'Input sheet 1'!$D$63</definedName>
    <definedName name="G3RD">'Input sheet 1'!$D$68</definedName>
    <definedName name="IAGREE">'Input sheet 1'!$B$25</definedName>
    <definedName name="IREAD">'Input sheet 1'!$B$19</definedName>
    <definedName name="L">banana!$B$5</definedName>
    <definedName name="LANG">banana!$B$5</definedName>
    <definedName name="lang_E">banana!$A$6</definedName>
    <definedName name="lang_J">banana!$A$5</definedName>
    <definedName name="PONUADDR">'Input sheet 1'!$C$199</definedName>
    <definedName name="PONUAFFI">'Input sheet 1'!$C$189</definedName>
    <definedName name="PONUCELL">'Input sheet 1'!$C$184</definedName>
    <definedName name="PONUJOB">'Input sheet 1'!$C$164</definedName>
    <definedName name="PONUMAIL">'Input sheet 1'!$C$179</definedName>
    <definedName name="PONUNAME">'Input sheet 1'!$C$169</definedName>
    <definedName name="PONUPOST">'Input sheet 1'!$C$194</definedName>
    <definedName name="PONUROM">'Input sheet 1'!$C$174</definedName>
    <definedName name="PONUTEL">'Input sheet 1'!$C$204</definedName>
    <definedName name="PONUUTT">'Input sheet 1'!$C$210</definedName>
    <definedName name="PONUYES">'Input sheet 1'!$C$158</definedName>
    <definedName name="_xlnm.Print_Area" localSheetId="5">'Application sheet'!$B$2:$M$102</definedName>
    <definedName name="REPU1ST">'Input sheet 1'!$D$85</definedName>
    <definedName name="REPU2ND">'Input sheet 1'!$D$90</definedName>
    <definedName name="REPU3RD">'Input sheet 1'!$D$95</definedName>
    <definedName name="REPUADDR">'Input sheet 1'!$C$140</definedName>
    <definedName name="REPUAFFI">'Input sheet 1'!$C$130</definedName>
    <definedName name="REPUCELL">'Input sheet 1'!$C$125</definedName>
    <definedName name="REPUJOB">'Input sheet 1'!$C$105</definedName>
    <definedName name="REPUMAIL">'Input sheet 1'!$C$120</definedName>
    <definedName name="REPUNAME">'Input sheet 1'!$C$110</definedName>
    <definedName name="REPUNAT">'Input sheet 1'!$C$100</definedName>
    <definedName name="REPUPOST">'Input sheet 1'!$C$135</definedName>
    <definedName name="REPUROM">'Input sheet 1'!$C$115</definedName>
    <definedName name="REPUSERNAME">'Input sheet 1'!$C$77</definedName>
    <definedName name="REPUTEL">'Input sheet 1'!$C$145</definedName>
    <definedName name="REPUUTT">'Input sheet 1'!$C$151</definedName>
    <definedName name="RES">'Input sheet 1'!$C$50</definedName>
    <definedName name="STARTM">'Input sheet 3'!$B$8</definedName>
    <definedName name="STARTY">'Input sheet 3'!$E$8</definedName>
    <definedName name="TOPIC">'Input sheet 1'!$C$45</definedName>
    <definedName name="TSSDLP">'Input sheet 4'!$C$35</definedName>
    <definedName name="TSSDLS">'Input sheet 4'!$C$30</definedName>
    <definedName name="TSSFULLA">'Input sheet 4'!$C$25</definedName>
    <definedName name="TSSHDD">'Input sheet 4'!$C$50</definedName>
    <definedName name="TSSINST">'Input sheet 4'!$C$55</definedName>
    <definedName name="TSSINSTP">'Input sheet 4'!$C$60</definedName>
    <definedName name="TSSPARA">'Input sheet 4'!$C$40</definedName>
    <definedName name="TSSREADO">'Input sheet 4'!$C$20</definedName>
    <definedName name="TSSSP">'Input sheet 4'!$C$45</definedName>
    <definedName name="TSSUNIT">'Input sheet 4'!$C$13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4" l="1"/>
  <c r="B48" i="3"/>
  <c r="B7" i="3"/>
  <c r="B153" i="1"/>
  <c r="B70" i="1"/>
  <c r="B40" i="1"/>
  <c r="B35" i="1"/>
  <c r="B27" i="1"/>
  <c r="B21" i="1"/>
  <c r="B14" i="1"/>
  <c r="A64" i="5" l="1"/>
  <c r="F60" i="2"/>
  <c r="N19" i="4" s="1"/>
  <c r="G60" i="2"/>
  <c r="O19" i="4" s="1"/>
  <c r="H60" i="2"/>
  <c r="D19" i="4" s="1"/>
  <c r="I60" i="2"/>
  <c r="E19" i="4" s="1"/>
  <c r="J60" i="2"/>
  <c r="F19" i="4" s="1"/>
  <c r="K60" i="2"/>
  <c r="G19" i="4" s="1"/>
  <c r="L60" i="2"/>
  <c r="H19" i="4" s="1"/>
  <c r="M60" i="2"/>
  <c r="I19" i="4" s="1"/>
  <c r="N60" i="2"/>
  <c r="J19" i="4" s="1"/>
  <c r="O60" i="2"/>
  <c r="K19" i="4" s="1"/>
  <c r="P60" i="2"/>
  <c r="L19" i="4" s="1"/>
  <c r="F59" i="2"/>
  <c r="G59" i="2"/>
  <c r="H59" i="2"/>
  <c r="I59" i="2"/>
  <c r="J59" i="2"/>
  <c r="K59" i="2"/>
  <c r="L59" i="2"/>
  <c r="M59" i="2"/>
  <c r="N59" i="2"/>
  <c r="O59" i="2"/>
  <c r="P59" i="2"/>
  <c r="E59" i="2"/>
  <c r="E60" i="2"/>
  <c r="M19" i="4" s="1"/>
  <c r="B34" i="2" l="1"/>
  <c r="P76" i="2" l="1"/>
  <c r="O76" i="2"/>
  <c r="N76" i="2"/>
  <c r="M76" i="2"/>
  <c r="L76" i="2"/>
  <c r="K76" i="2"/>
  <c r="J76" i="2"/>
  <c r="I76" i="2"/>
  <c r="H76" i="2"/>
  <c r="G76" i="2"/>
  <c r="F76" i="2"/>
  <c r="E76" i="2"/>
  <c r="B194" i="2"/>
  <c r="D219" i="2"/>
  <c r="M46" i="4" l="1"/>
  <c r="E104" i="2" s="1"/>
  <c r="N46" i="4"/>
  <c r="F104" i="2" s="1"/>
  <c r="O46" i="4"/>
  <c r="G104" i="2" s="1"/>
  <c r="B59" i="4"/>
  <c r="D16" i="2" l="1"/>
  <c r="B38" i="2"/>
  <c r="C38" i="2"/>
  <c r="D38" i="2"/>
  <c r="B39" i="2"/>
  <c r="C39" i="2"/>
  <c r="D39" i="2"/>
  <c r="B40" i="2"/>
  <c r="C40" i="2"/>
  <c r="D40" i="2"/>
  <c r="B41" i="2"/>
  <c r="C41" i="2"/>
  <c r="D41" i="2"/>
  <c r="B42" i="2"/>
  <c r="C42" i="2"/>
  <c r="D42" i="2"/>
  <c r="B43" i="2"/>
  <c r="C43" i="2"/>
  <c r="D43" i="2"/>
  <c r="B44" i="2"/>
  <c r="C44" i="2"/>
  <c r="D44" i="2"/>
  <c r="B45" i="2"/>
  <c r="C45" i="2"/>
  <c r="D45" i="2"/>
  <c r="B46" i="2"/>
  <c r="C46" i="2"/>
  <c r="D46" i="2"/>
  <c r="P61" i="2"/>
  <c r="E62" i="2"/>
  <c r="E79" i="2" s="1"/>
  <c r="F62" i="2"/>
  <c r="F79" i="2" s="1"/>
  <c r="G62" i="2"/>
  <c r="G79" i="2" s="1"/>
  <c r="H62" i="2"/>
  <c r="I62" i="2"/>
  <c r="J62" i="2"/>
  <c r="J79" i="2" s="1"/>
  <c r="K62" i="2"/>
  <c r="L62" i="2"/>
  <c r="L79" i="2" s="1"/>
  <c r="M62" i="2"/>
  <c r="M79" i="2" s="1"/>
  <c r="N62" i="2"/>
  <c r="N79" i="2" s="1"/>
  <c r="O62" i="2"/>
  <c r="O79" i="2" s="1"/>
  <c r="P62" i="2"/>
  <c r="E63" i="2"/>
  <c r="F63" i="2"/>
  <c r="G63" i="2"/>
  <c r="H63" i="2"/>
  <c r="I63" i="2"/>
  <c r="J63" i="2"/>
  <c r="K63" i="2"/>
  <c r="L63" i="2"/>
  <c r="M63" i="2"/>
  <c r="N63" i="2"/>
  <c r="O63" i="2"/>
  <c r="P63" i="2"/>
  <c r="E61" i="2"/>
  <c r="F61" i="2"/>
  <c r="G61" i="2"/>
  <c r="H61" i="2"/>
  <c r="I61" i="2"/>
  <c r="E40" i="4" s="1"/>
  <c r="J61" i="2"/>
  <c r="K61" i="2"/>
  <c r="L61" i="2"/>
  <c r="M61" i="2"/>
  <c r="I40" i="4" s="1"/>
  <c r="N61" i="2"/>
  <c r="P79" i="2"/>
  <c r="F18" i="2"/>
  <c r="D209" i="2" s="1"/>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E284" i="2"/>
  <c r="D284" i="2"/>
  <c r="E285" i="2"/>
  <c r="D285" i="2"/>
  <c r="E286" i="2"/>
  <c r="D286" i="2"/>
  <c r="E287" i="2"/>
  <c r="D287" i="2"/>
  <c r="E288" i="2"/>
  <c r="D288" i="2"/>
  <c r="E289" i="2"/>
  <c r="D289" i="2" s="1"/>
  <c r="E290" i="2"/>
  <c r="D290" i="2"/>
  <c r="E291" i="2"/>
  <c r="D291" i="2" s="1"/>
  <c r="E292" i="2"/>
  <c r="D292" i="2" s="1"/>
  <c r="E293" i="2"/>
  <c r="D293" i="2"/>
  <c r="E294" i="2"/>
  <c r="D294" i="2"/>
  <c r="E295" i="2"/>
  <c r="D295" i="2"/>
  <c r="E296" i="2"/>
  <c r="D296" i="2"/>
  <c r="E297" i="2"/>
  <c r="D297" i="2"/>
  <c r="E298" i="2"/>
  <c r="D298" i="2"/>
  <c r="E299" i="2"/>
  <c r="D299" i="2" s="1"/>
  <c r="E300" i="2"/>
  <c r="D300" i="2" s="1"/>
  <c r="E301" i="2"/>
  <c r="D301" i="2"/>
  <c r="E302" i="2"/>
  <c r="D302" i="2"/>
  <c r="E303" i="2"/>
  <c r="D303" i="2"/>
  <c r="E304" i="2"/>
  <c r="D304" i="2"/>
  <c r="E305" i="2"/>
  <c r="D305" i="2"/>
  <c r="E306" i="2"/>
  <c r="D306" i="2" s="1"/>
  <c r="E307" i="2"/>
  <c r="D307" i="2" s="1"/>
  <c r="E308" i="2"/>
  <c r="D308" i="2" s="1"/>
  <c r="E309" i="2"/>
  <c r="D309" i="2"/>
  <c r="E310" i="2"/>
  <c r="D310" i="2"/>
  <c r="E311" i="2"/>
  <c r="D311" i="2"/>
  <c r="E312" i="2"/>
  <c r="D312" i="2"/>
  <c r="E313" i="2"/>
  <c r="D313" i="2"/>
  <c r="E314" i="2"/>
  <c r="D314" i="2"/>
  <c r="E315" i="2"/>
  <c r="D315" i="2" s="1"/>
  <c r="E316" i="2"/>
  <c r="D316" i="2" s="1"/>
  <c r="E317" i="2"/>
  <c r="D317" i="2"/>
  <c r="E318" i="2"/>
  <c r="D318" i="2"/>
  <c r="E319" i="2"/>
  <c r="D319" i="2"/>
  <c r="E320" i="2"/>
  <c r="D320" i="2"/>
  <c r="E321" i="2"/>
  <c r="D321" i="2"/>
  <c r="E322" i="2"/>
  <c r="D322" i="2"/>
  <c r="E323" i="2"/>
  <c r="D323" i="2" s="1"/>
  <c r="E324" i="2"/>
  <c r="D324" i="2" s="1"/>
  <c r="E325" i="2"/>
  <c r="D325" i="2"/>
  <c r="E326" i="2"/>
  <c r="D326" i="2"/>
  <c r="E327" i="2"/>
  <c r="D327" i="2"/>
  <c r="E328" i="2"/>
  <c r="D328" i="2"/>
  <c r="E329" i="2"/>
  <c r="D329" i="2"/>
  <c r="E330" i="2"/>
  <c r="D330" i="2"/>
  <c r="E331" i="2"/>
  <c r="D331" i="2" s="1"/>
  <c r="E332" i="2"/>
  <c r="D332" i="2" s="1"/>
  <c r="E333" i="2"/>
  <c r="D333" i="2"/>
  <c r="E334" i="2"/>
  <c r="D334" i="2"/>
  <c r="E335" i="2"/>
  <c r="D335" i="2"/>
  <c r="E336" i="2"/>
  <c r="D336" i="2"/>
  <c r="E337" i="2"/>
  <c r="D337" i="2"/>
  <c r="E338" i="2"/>
  <c r="D338" i="2"/>
  <c r="E339" i="2"/>
  <c r="D339" i="2" s="1"/>
  <c r="E340" i="2"/>
  <c r="D340" i="2" s="1"/>
  <c r="E341" i="2"/>
  <c r="D341" i="2"/>
  <c r="E342" i="2"/>
  <c r="D342" i="2"/>
  <c r="E343" i="2"/>
  <c r="D343" i="2"/>
  <c r="E344" i="2"/>
  <c r="D344" i="2"/>
  <c r="D34" i="2"/>
  <c r="J34" i="2" s="1"/>
  <c r="B5" i="2"/>
  <c r="H72" i="2"/>
  <c r="H73" i="2"/>
  <c r="H74" i="2"/>
  <c r="I74" i="2"/>
  <c r="J74" i="2"/>
  <c r="K74" i="2"/>
  <c r="L74" i="2"/>
  <c r="M74" i="2"/>
  <c r="N74" i="2"/>
  <c r="O74" i="2"/>
  <c r="P74" i="2"/>
  <c r="E74" i="2"/>
  <c r="F74" i="2"/>
  <c r="H75" i="2"/>
  <c r="I75" i="2"/>
  <c r="H77" i="2"/>
  <c r="H78" i="2"/>
  <c r="O61" i="2"/>
  <c r="K40" i="4" s="1"/>
  <c r="H71" i="2"/>
  <c r="E226" i="2"/>
  <c r="G74" i="2"/>
  <c r="I71" i="2"/>
  <c r="I79" i="2"/>
  <c r="H79" i="2"/>
  <c r="K79" i="2"/>
  <c r="B58" i="4"/>
  <c r="P75" i="2"/>
  <c r="O75" i="2"/>
  <c r="N75" i="2"/>
  <c r="M75" i="2"/>
  <c r="L75" i="2"/>
  <c r="K75" i="2"/>
  <c r="J75" i="2"/>
  <c r="G75" i="2"/>
  <c r="F75" i="2"/>
  <c r="E75" i="2"/>
  <c r="D15" i="2"/>
  <c r="E33" i="1" s="1"/>
  <c r="D14" i="2"/>
  <c r="F31" i="6"/>
  <c r="F15" i="6"/>
  <c r="J3" i="6"/>
  <c r="F15" i="10"/>
  <c r="B11" i="14" s="1"/>
  <c r="F13" i="10"/>
  <c r="A17" i="11"/>
  <c r="F18" i="13"/>
  <c r="F17" i="11"/>
  <c r="A19" i="14"/>
  <c r="A18" i="13"/>
  <c r="A18" i="12"/>
  <c r="F14" i="10"/>
  <c r="F12" i="10"/>
  <c r="F4" i="10"/>
  <c r="G2" i="14"/>
  <c r="G2" i="13"/>
  <c r="A11" i="14"/>
  <c r="A9" i="14"/>
  <c r="A9" i="13"/>
  <c r="A7" i="14"/>
  <c r="A7" i="13"/>
  <c r="F10" i="10"/>
  <c r="D4" i="14"/>
  <c r="D4" i="13"/>
  <c r="B18" i="14"/>
  <c r="A18" i="14"/>
  <c r="H13" i="14"/>
  <c r="E13" i="14"/>
  <c r="B13" i="14"/>
  <c r="B17" i="13"/>
  <c r="A17" i="13"/>
  <c r="A14" i="13"/>
  <c r="H13" i="13"/>
  <c r="E13" i="13"/>
  <c r="B13" i="13"/>
  <c r="A11" i="13"/>
  <c r="B17" i="12"/>
  <c r="A17" i="12"/>
  <c r="H12" i="12"/>
  <c r="E12" i="12"/>
  <c r="B12" i="12"/>
  <c r="A9" i="12"/>
  <c r="A7" i="12"/>
  <c r="A5" i="12"/>
  <c r="G4" i="12"/>
  <c r="B16" i="11"/>
  <c r="A16" i="11"/>
  <c r="F16" i="10"/>
  <c r="H2" i="14" s="1"/>
  <c r="H4" i="12"/>
  <c r="A13" i="11"/>
  <c r="H12" i="11"/>
  <c r="E12" i="11"/>
  <c r="B12" i="11"/>
  <c r="A9" i="11"/>
  <c r="A7" i="11"/>
  <c r="G4" i="11"/>
  <c r="A5" i="11"/>
  <c r="B11" i="9"/>
  <c r="G11" i="9"/>
  <c r="F20" i="10"/>
  <c r="B44" i="12"/>
  <c r="F18" i="10"/>
  <c r="D13" i="12" s="1"/>
  <c r="F19" i="10"/>
  <c r="G13" i="12"/>
  <c r="E38" i="6"/>
  <c r="F11" i="10"/>
  <c r="B7" i="14"/>
  <c r="F9" i="10"/>
  <c r="G1" i="11"/>
  <c r="F2" i="10"/>
  <c r="D1" i="9"/>
  <c r="F3" i="10"/>
  <c r="B3" i="9"/>
  <c r="G14" i="13"/>
  <c r="G14" i="14"/>
  <c r="G13" i="11"/>
  <c r="G1" i="12"/>
  <c r="B7" i="9"/>
  <c r="B200" i="2"/>
  <c r="B199" i="2"/>
  <c r="B198" i="2"/>
  <c r="B197" i="2"/>
  <c r="B196" i="2"/>
  <c r="B195" i="2"/>
  <c r="W221" i="2"/>
  <c r="X221" i="2"/>
  <c r="V221" i="2"/>
  <c r="I13" i="6"/>
  <c r="K17" i="4"/>
  <c r="E18" i="2"/>
  <c r="G53" i="2" s="1"/>
  <c r="H53" i="2" s="1"/>
  <c r="E222" i="2"/>
  <c r="P78" i="2"/>
  <c r="E78" i="2"/>
  <c r="F78" i="2"/>
  <c r="G78" i="2"/>
  <c r="I78" i="2"/>
  <c r="J78" i="2"/>
  <c r="K78" i="2"/>
  <c r="L78" i="2"/>
  <c r="M78" i="2"/>
  <c r="N78" i="2"/>
  <c r="O78" i="2"/>
  <c r="P71" i="2"/>
  <c r="E71" i="2"/>
  <c r="F71" i="2"/>
  <c r="G71" i="2"/>
  <c r="J71" i="2"/>
  <c r="K71" i="2"/>
  <c r="L71" i="2"/>
  <c r="M71" i="2"/>
  <c r="N71" i="2"/>
  <c r="O71" i="2"/>
  <c r="P72" i="2"/>
  <c r="E72" i="2"/>
  <c r="F72" i="2"/>
  <c r="G72" i="2"/>
  <c r="I72" i="2"/>
  <c r="J72" i="2"/>
  <c r="K72" i="2"/>
  <c r="L72" i="2"/>
  <c r="M72" i="2"/>
  <c r="N72" i="2"/>
  <c r="O72" i="2"/>
  <c r="P73" i="2"/>
  <c r="E73" i="2"/>
  <c r="F73" i="2"/>
  <c r="G73" i="2"/>
  <c r="I73" i="2"/>
  <c r="J73" i="2"/>
  <c r="K73" i="2"/>
  <c r="L73" i="2"/>
  <c r="M73" i="2"/>
  <c r="N73" i="2"/>
  <c r="O73" i="2"/>
  <c r="P77" i="2"/>
  <c r="E77" i="2"/>
  <c r="F77" i="2"/>
  <c r="G77" i="2"/>
  <c r="I77" i="2"/>
  <c r="J77" i="2"/>
  <c r="K77" i="2"/>
  <c r="L77" i="2"/>
  <c r="M77" i="2"/>
  <c r="N77" i="2"/>
  <c r="O77"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23" i="2"/>
  <c r="E224" i="2"/>
  <c r="E225" i="2"/>
  <c r="E227" i="2"/>
  <c r="E228" i="2"/>
  <c r="E229" i="2"/>
  <c r="E230" i="2"/>
  <c r="E231" i="2"/>
  <c r="E232" i="2"/>
  <c r="E233" i="2"/>
  <c r="E234" i="2"/>
  <c r="E235" i="2"/>
  <c r="A1" i="2"/>
  <c r="A141" i="2"/>
  <c r="A179" i="2"/>
  <c r="D31" i="2"/>
  <c r="D8" i="2"/>
  <c r="D11" i="2"/>
  <c r="E39" i="6"/>
  <c r="G38" i="6"/>
  <c r="E36" i="6"/>
  <c r="H36" i="6"/>
  <c r="L33" i="6"/>
  <c r="I33" i="6"/>
  <c r="E34" i="6"/>
  <c r="F33" i="6"/>
  <c r="E32" i="6"/>
  <c r="I31" i="6"/>
  <c r="D31" i="6"/>
  <c r="D22" i="2"/>
  <c r="I27" i="6" s="1"/>
  <c r="L19" i="6"/>
  <c r="D15" i="6"/>
  <c r="E20" i="6"/>
  <c r="I19" i="6"/>
  <c r="F19" i="6"/>
  <c r="E18" i="6"/>
  <c r="J17" i="6"/>
  <c r="F17" i="6"/>
  <c r="I15" i="6"/>
  <c r="D17" i="6"/>
  <c r="K13" i="6"/>
  <c r="G13" i="6"/>
  <c r="D13" i="6"/>
  <c r="E6" i="6"/>
  <c r="J6" i="6"/>
  <c r="H10" i="6"/>
  <c r="K10" i="6"/>
  <c r="E10" i="6"/>
  <c r="E8" i="6"/>
  <c r="E7" i="6"/>
  <c r="B1" i="2"/>
  <c r="D20" i="5"/>
  <c r="D25" i="5"/>
  <c r="D30" i="5"/>
  <c r="D35" i="5"/>
  <c r="D40" i="5"/>
  <c r="D45" i="5"/>
  <c r="D50" i="5"/>
  <c r="D55" i="5"/>
  <c r="D60" i="5"/>
  <c r="A114" i="2"/>
  <c r="B56" i="4"/>
  <c r="B57" i="4"/>
  <c r="F21" i="10"/>
  <c r="H1" i="13"/>
  <c r="F5" i="10"/>
  <c r="G3" i="9"/>
  <c r="F62" i="4"/>
  <c r="B5" i="12"/>
  <c r="B5" i="11"/>
  <c r="B7" i="13"/>
  <c r="E44" i="2"/>
  <c r="E38" i="2"/>
  <c r="E39" i="2"/>
  <c r="E42" i="2"/>
  <c r="K62" i="4"/>
  <c r="B44" i="11"/>
  <c r="L17" i="4"/>
  <c r="L62" i="4"/>
  <c r="H1" i="14"/>
  <c r="G18" i="2"/>
  <c r="E62" i="4"/>
  <c r="E43" i="2"/>
  <c r="E45" i="2"/>
  <c r="E40" i="2"/>
  <c r="B9" i="11" l="1"/>
  <c r="C54" i="1"/>
  <c r="E49" i="2"/>
  <c r="E48" i="2"/>
  <c r="E50" i="2"/>
  <c r="C65" i="3"/>
  <c r="E17" i="4"/>
  <c r="F17" i="4"/>
  <c r="I17" i="4"/>
  <c r="H62" i="4"/>
  <c r="H17" i="4"/>
  <c r="J40" i="4"/>
  <c r="N98" i="2" s="1"/>
  <c r="L44" i="4"/>
  <c r="P102" i="2" s="1"/>
  <c r="L40" i="4"/>
  <c r="G47" i="4"/>
  <c r="K105" i="2" s="1"/>
  <c r="G40" i="4"/>
  <c r="F42" i="4"/>
  <c r="J100" i="2" s="1"/>
  <c r="F40" i="4"/>
  <c r="J98" i="2" s="1"/>
  <c r="D44" i="4"/>
  <c r="H102" i="2" s="1"/>
  <c r="D40" i="4"/>
  <c r="G70" i="2"/>
  <c r="O40" i="4"/>
  <c r="G98" i="2" s="1"/>
  <c r="F70" i="2"/>
  <c r="N40" i="4"/>
  <c r="F98" i="2" s="1"/>
  <c r="E70" i="2"/>
  <c r="M40" i="4"/>
  <c r="E98" i="2" s="1"/>
  <c r="O42" i="4"/>
  <c r="G100" i="2" s="1"/>
  <c r="O45" i="4"/>
  <c r="G103" i="2" s="1"/>
  <c r="O44" i="4"/>
  <c r="G102" i="2" s="1"/>
  <c r="O43" i="4"/>
  <c r="G101" i="2" s="1"/>
  <c r="O49" i="4"/>
  <c r="G107" i="2" s="1"/>
  <c r="O48" i="4"/>
  <c r="G106" i="2" s="1"/>
  <c r="O47" i="4"/>
  <c r="G105" i="2" s="1"/>
  <c r="H49" i="4"/>
  <c r="L107" i="2" s="1"/>
  <c r="H40" i="4"/>
  <c r="L98" i="2" s="1"/>
  <c r="O41" i="4"/>
  <c r="G99" i="2" s="1"/>
  <c r="E87" i="2"/>
  <c r="L87" i="2"/>
  <c r="N87" i="2"/>
  <c r="F87" i="2"/>
  <c r="M87" i="2"/>
  <c r="O87" i="2"/>
  <c r="G87" i="2"/>
  <c r="K87" i="2"/>
  <c r="P87" i="2"/>
  <c r="I87" i="2"/>
  <c r="J87" i="2"/>
  <c r="H87" i="2"/>
  <c r="D17" i="4"/>
  <c r="E41" i="2"/>
  <c r="N44" i="4"/>
  <c r="F102" i="2" s="1"/>
  <c r="N48" i="4"/>
  <c r="F106" i="2" s="1"/>
  <c r="N45" i="4"/>
  <c r="F103" i="2" s="1"/>
  <c r="N43" i="4"/>
  <c r="F101" i="2" s="1"/>
  <c r="N47" i="4"/>
  <c r="F105" i="2" s="1"/>
  <c r="N42" i="4"/>
  <c r="F100" i="2" s="1"/>
  <c r="N41" i="4"/>
  <c r="F99" i="2" s="1"/>
  <c r="N49" i="4"/>
  <c r="F107" i="2" s="1"/>
  <c r="M44" i="4"/>
  <c r="E102" i="2" s="1"/>
  <c r="M48" i="4"/>
  <c r="E106" i="2" s="1"/>
  <c r="P70" i="2"/>
  <c r="L46" i="4"/>
  <c r="P104" i="2" s="1"/>
  <c r="M42" i="4"/>
  <c r="E100" i="2" s="1"/>
  <c r="L41" i="4"/>
  <c r="P99" i="2" s="1"/>
  <c r="M49" i="4"/>
  <c r="E107" i="2" s="1"/>
  <c r="L47" i="4"/>
  <c r="P105" i="2" s="1"/>
  <c r="L45" i="4"/>
  <c r="P103" i="2" s="1"/>
  <c r="P98" i="2"/>
  <c r="M45" i="4"/>
  <c r="E103" i="2" s="1"/>
  <c r="M41" i="4"/>
  <c r="E99" i="2" s="1"/>
  <c r="L49" i="4"/>
  <c r="P107" i="2" s="1"/>
  <c r="L48" i="4"/>
  <c r="P106" i="2" s="1"/>
  <c r="M47" i="4"/>
  <c r="E105" i="2" s="1"/>
  <c r="L43" i="4"/>
  <c r="P101" i="2" s="1"/>
  <c r="L42" i="4"/>
  <c r="P100" i="2" s="1"/>
  <c r="M43" i="4"/>
  <c r="E101" i="2" s="1"/>
  <c r="O70" i="2"/>
  <c r="K46" i="4"/>
  <c r="O104" i="2" s="1"/>
  <c r="J49" i="4"/>
  <c r="N107" i="2" s="1"/>
  <c r="J45" i="4"/>
  <c r="N103" i="2" s="1"/>
  <c r="N70" i="2"/>
  <c r="J46" i="4"/>
  <c r="N104" i="2" s="1"/>
  <c r="K41" i="4"/>
  <c r="O99" i="2" s="1"/>
  <c r="K43" i="4"/>
  <c r="O101" i="2" s="1"/>
  <c r="K45" i="4"/>
  <c r="O103" i="2" s="1"/>
  <c r="K49" i="4"/>
  <c r="O107" i="2" s="1"/>
  <c r="J47" i="4"/>
  <c r="N105" i="2" s="1"/>
  <c r="K42" i="4"/>
  <c r="O100" i="2" s="1"/>
  <c r="K47" i="4"/>
  <c r="O105" i="2" s="1"/>
  <c r="K48" i="4"/>
  <c r="O106" i="2" s="1"/>
  <c r="J43" i="4"/>
  <c r="N101" i="2" s="1"/>
  <c r="J48" i="4"/>
  <c r="N106" i="2" s="1"/>
  <c r="J44" i="4"/>
  <c r="N102" i="2" s="1"/>
  <c r="K44" i="4"/>
  <c r="O102" i="2" s="1"/>
  <c r="J41" i="4"/>
  <c r="N99" i="2" s="1"/>
  <c r="J42" i="4"/>
  <c r="N100" i="2" s="1"/>
  <c r="O98" i="2"/>
  <c r="H41" i="4"/>
  <c r="L99" i="2" s="1"/>
  <c r="M70" i="2"/>
  <c r="I46" i="4"/>
  <c r="M104" i="2" s="1"/>
  <c r="L70" i="2"/>
  <c r="H46" i="4"/>
  <c r="L104" i="2" s="1"/>
  <c r="H47" i="4"/>
  <c r="L105" i="2" s="1"/>
  <c r="H43" i="4"/>
  <c r="L101" i="2" s="1"/>
  <c r="I48" i="4"/>
  <c r="M106" i="2" s="1"/>
  <c r="H44" i="4"/>
  <c r="L102" i="2" s="1"/>
  <c r="H48" i="4"/>
  <c r="L106" i="2" s="1"/>
  <c r="H45" i="4"/>
  <c r="L103" i="2" s="1"/>
  <c r="H42" i="4"/>
  <c r="L100" i="2" s="1"/>
  <c r="I49" i="4"/>
  <c r="M107" i="2" s="1"/>
  <c r="I42" i="4"/>
  <c r="M100" i="2" s="1"/>
  <c r="I41" i="4"/>
  <c r="M99" i="2" s="1"/>
  <c r="I47" i="4"/>
  <c r="M105" i="2" s="1"/>
  <c r="I43" i="4"/>
  <c r="M101" i="2" s="1"/>
  <c r="M98" i="2"/>
  <c r="I44" i="4"/>
  <c r="M102" i="2" s="1"/>
  <c r="I45" i="4"/>
  <c r="M103" i="2" s="1"/>
  <c r="F49" i="4"/>
  <c r="J107" i="2" s="1"/>
  <c r="F41" i="4"/>
  <c r="J99" i="2" s="1"/>
  <c r="K70" i="2"/>
  <c r="G46" i="4"/>
  <c r="K104" i="2" s="1"/>
  <c r="J70" i="2"/>
  <c r="F46" i="4"/>
  <c r="J104" i="2" s="1"/>
  <c r="F48" i="4"/>
  <c r="J106" i="2" s="1"/>
  <c r="G43" i="4"/>
  <c r="K101" i="2" s="1"/>
  <c r="F43" i="4"/>
  <c r="J101" i="2" s="1"/>
  <c r="G44" i="4"/>
  <c r="K102" i="2" s="1"/>
  <c r="G41" i="4"/>
  <c r="K99" i="2" s="1"/>
  <c r="G49" i="4"/>
  <c r="K107" i="2" s="1"/>
  <c r="G48" i="4"/>
  <c r="K106" i="2" s="1"/>
  <c r="F47" i="4"/>
  <c r="J105" i="2" s="1"/>
  <c r="F44" i="4"/>
  <c r="J102" i="2" s="1"/>
  <c r="G45" i="4"/>
  <c r="K103" i="2" s="1"/>
  <c r="K98" i="2"/>
  <c r="F45" i="4"/>
  <c r="J103" i="2" s="1"/>
  <c r="G42" i="4"/>
  <c r="K100" i="2" s="1"/>
  <c r="E49" i="4"/>
  <c r="I107" i="2" s="1"/>
  <c r="E47" i="4"/>
  <c r="I105" i="2" s="1"/>
  <c r="E48" i="4"/>
  <c r="I106" i="2" s="1"/>
  <c r="E41" i="4"/>
  <c r="I99" i="2" s="1"/>
  <c r="I70" i="2"/>
  <c r="E46" i="4"/>
  <c r="I104" i="2" s="1"/>
  <c r="E43" i="4"/>
  <c r="I101" i="2" s="1"/>
  <c r="I98" i="2"/>
  <c r="E44" i="4"/>
  <c r="I102" i="2" s="1"/>
  <c r="E42" i="4"/>
  <c r="I100" i="2" s="1"/>
  <c r="E45" i="4"/>
  <c r="I103" i="2" s="1"/>
  <c r="O62" i="4"/>
  <c r="M62" i="4"/>
  <c r="E59" i="4"/>
  <c r="J59" i="4"/>
  <c r="L59" i="4"/>
  <c r="D59" i="4"/>
  <c r="F59" i="4"/>
  <c r="K59" i="4"/>
  <c r="O59" i="4"/>
  <c r="G59" i="4"/>
  <c r="I59" i="4"/>
  <c r="M59" i="4"/>
  <c r="H59" i="4"/>
  <c r="N59" i="4"/>
  <c r="E46" i="2"/>
  <c r="H98" i="2"/>
  <c r="D43" i="4"/>
  <c r="H101" i="2" s="1"/>
  <c r="D41" i="4"/>
  <c r="H99" i="2" s="1"/>
  <c r="H70" i="2"/>
  <c r="D46" i="4"/>
  <c r="H104" i="2" s="1"/>
  <c r="D45" i="4"/>
  <c r="H103" i="2" s="1"/>
  <c r="D47" i="4"/>
  <c r="H105" i="2" s="1"/>
  <c r="D49" i="4"/>
  <c r="H107" i="2" s="1"/>
  <c r="D48" i="4"/>
  <c r="H106" i="2" s="1"/>
  <c r="D42" i="4"/>
  <c r="H100" i="2" s="1"/>
  <c r="A187" i="2"/>
  <c r="A19" i="8" s="1"/>
  <c r="N17" i="4"/>
  <c r="M17" i="4"/>
  <c r="C15" i="2"/>
  <c r="B30" i="1" s="1"/>
  <c r="A104" i="2"/>
  <c r="A149" i="2" s="1"/>
  <c r="B15" i="1"/>
  <c r="B2" i="7"/>
  <c r="G51" i="2"/>
  <c r="H51" i="2" s="1"/>
  <c r="O17" i="4"/>
  <c r="F23" i="6"/>
  <c r="G39" i="2"/>
  <c r="H39" i="2" s="1"/>
  <c r="I23" i="6"/>
  <c r="N62" i="4"/>
  <c r="G38" i="2"/>
  <c r="H38" i="2" s="1"/>
  <c r="G55" i="2"/>
  <c r="H55" i="2" s="1"/>
  <c r="I89" i="2" s="1"/>
  <c r="G41" i="2"/>
  <c r="H41" i="2" s="1"/>
  <c r="E28" i="6"/>
  <c r="B20" i="4"/>
  <c r="A70" i="2" s="1"/>
  <c r="A81" i="2" s="1"/>
  <c r="A117" i="2" s="1"/>
  <c r="A155" i="2" s="1"/>
  <c r="A2" i="8" s="1"/>
  <c r="G50" i="2"/>
  <c r="H50" i="2" s="1"/>
  <c r="G56" i="4" s="1"/>
  <c r="H4" i="11"/>
  <c r="G44" i="2"/>
  <c r="H44" i="2" s="1"/>
  <c r="C21" i="7"/>
  <c r="G37" i="2"/>
  <c r="H37" i="2" s="1"/>
  <c r="G42" i="2"/>
  <c r="H42" i="2" s="1"/>
  <c r="G46" i="2"/>
  <c r="H46" i="2" s="1"/>
  <c r="B193" i="2"/>
  <c r="D52" i="6" s="1"/>
  <c r="D44" i="6"/>
  <c r="D13" i="11"/>
  <c r="G43" i="2"/>
  <c r="H43" i="2" s="1"/>
  <c r="B11" i="13"/>
  <c r="B23" i="1"/>
  <c r="B10" i="1"/>
  <c r="H2" i="13"/>
  <c r="I62" i="4"/>
  <c r="A112" i="2"/>
  <c r="B7" i="5" s="1"/>
  <c r="D84" i="1"/>
  <c r="E53" i="2"/>
  <c r="C14" i="2"/>
  <c r="B29" i="1" s="1"/>
  <c r="C54" i="3"/>
  <c r="A98" i="2"/>
  <c r="A143" i="2" s="1"/>
  <c r="C31" i="2"/>
  <c r="F64" i="4"/>
  <c r="H45" i="6" s="1"/>
  <c r="C118" i="1"/>
  <c r="F16" i="6" s="1"/>
  <c r="B49" i="4"/>
  <c r="B61" i="4" s="1"/>
  <c r="G59" i="5"/>
  <c r="C177" i="1"/>
  <c r="F24" i="6" s="1"/>
  <c r="A67" i="4"/>
  <c r="E51" i="4"/>
  <c r="M39" i="4"/>
  <c r="B41" i="1"/>
  <c r="B6" i="6" s="1"/>
  <c r="C182" i="1"/>
  <c r="J24" i="6" s="1"/>
  <c r="C53" i="5"/>
  <c r="C25" i="7"/>
  <c r="C26" i="7" s="1"/>
  <c r="D5" i="6"/>
  <c r="C47" i="4"/>
  <c r="A188" i="2"/>
  <c r="C103" i="1"/>
  <c r="D14" i="6" s="1"/>
  <c r="H64" i="4"/>
  <c r="E13" i="5"/>
  <c r="B6" i="4"/>
  <c r="C80" i="1"/>
  <c r="C19" i="2"/>
  <c r="C3" i="2"/>
  <c r="A105" i="2"/>
  <c r="A150" i="2" s="1"/>
  <c r="C197" i="1"/>
  <c r="D28" i="6" s="1"/>
  <c r="G24" i="5"/>
  <c r="C149" i="1"/>
  <c r="C172" i="1"/>
  <c r="I22" i="6" s="1"/>
  <c r="H44" i="6"/>
  <c r="O39" i="4"/>
  <c r="C138" i="1"/>
  <c r="D20" i="6" s="1"/>
  <c r="A183" i="2"/>
  <c r="A15" i="8" s="1"/>
  <c r="B8" i="7"/>
  <c r="C43" i="3"/>
  <c r="K33" i="6" s="1"/>
  <c r="C38" i="3"/>
  <c r="G33" i="6" s="1"/>
  <c r="B40" i="4"/>
  <c r="D49" i="5"/>
  <c r="B51" i="4"/>
  <c r="C26" i="2"/>
  <c r="C4" i="7" s="1"/>
  <c r="A181" i="2"/>
  <c r="A13" i="8" s="1"/>
  <c r="D24" i="5"/>
  <c r="K179" i="1"/>
  <c r="D28" i="7"/>
  <c r="A186" i="2"/>
  <c r="A18" i="8" s="1"/>
  <c r="C25" i="2"/>
  <c r="D59" i="5"/>
  <c r="D83" i="1"/>
  <c r="F13" i="6" s="1"/>
  <c r="C18" i="3"/>
  <c r="I30" i="6" s="1"/>
  <c r="B47" i="4"/>
  <c r="B60" i="4" s="1"/>
  <c r="A144" i="4"/>
  <c r="C113" i="1"/>
  <c r="I14" i="6" s="1"/>
  <c r="F12" i="1"/>
  <c r="C23" i="5"/>
  <c r="A194" i="2" s="1"/>
  <c r="D66" i="1"/>
  <c r="J10" i="6" s="1"/>
  <c r="B36" i="1"/>
  <c r="I6" i="6" s="1"/>
  <c r="C16" i="2"/>
  <c r="B31" i="1" s="1"/>
  <c r="C56" i="3"/>
  <c r="D38" i="6" s="1"/>
  <c r="C43" i="5"/>
  <c r="A198" i="2" s="1"/>
  <c r="A92" i="2"/>
  <c r="A139" i="2" s="1"/>
  <c r="A177" i="2" s="1"/>
  <c r="B4" i="5"/>
  <c r="C23" i="3"/>
  <c r="D32" i="6" s="1"/>
  <c r="C43" i="1"/>
  <c r="D7" i="6" s="1"/>
  <c r="A213" i="1"/>
  <c r="C11" i="2"/>
  <c r="A184" i="2"/>
  <c r="A16" i="8" s="1"/>
  <c r="G39" i="5"/>
  <c r="A102" i="2"/>
  <c r="A147" i="2" s="1"/>
  <c r="C22" i="2"/>
  <c r="H158" i="1" s="1"/>
  <c r="C2" i="2"/>
  <c r="C11" i="5"/>
  <c r="D19" i="5"/>
  <c r="C123" i="1"/>
  <c r="J16" i="6" s="1"/>
  <c r="D34" i="5"/>
  <c r="B189" i="2"/>
  <c r="B21" i="8" s="1"/>
  <c r="C128" i="1"/>
  <c r="D18" i="6" s="1"/>
  <c r="C44" i="3"/>
  <c r="E37" i="2"/>
  <c r="C33" i="5"/>
  <c r="A196" i="2" s="1"/>
  <c r="C51" i="3"/>
  <c r="G36" i="6" s="1"/>
  <c r="B42" i="4"/>
  <c r="B55" i="4" s="1"/>
  <c r="B3" i="1"/>
  <c r="G49" i="5"/>
  <c r="C33" i="3"/>
  <c r="D34" i="6" s="1"/>
  <c r="C167" i="1"/>
  <c r="F22" i="6" s="1"/>
  <c r="C4" i="6"/>
  <c r="I39" i="4"/>
  <c r="A182" i="2"/>
  <c r="A14" i="8" s="1"/>
  <c r="C29" i="2"/>
  <c r="B17" i="1"/>
  <c r="B52" i="4"/>
  <c r="B41" i="6" s="1"/>
  <c r="G19" i="5"/>
  <c r="E52" i="2"/>
  <c r="E6" i="4"/>
  <c r="A103" i="2"/>
  <c r="A148" i="2" s="1"/>
  <c r="B49" i="3"/>
  <c r="B36" i="6" s="1"/>
  <c r="G51" i="4"/>
  <c r="C8" i="2"/>
  <c r="N39" i="4"/>
  <c r="B22" i="1"/>
  <c r="C98" i="1"/>
  <c r="D16" i="6" s="1"/>
  <c r="C9" i="2"/>
  <c r="A191" i="2"/>
  <c r="C13" i="3"/>
  <c r="F30" i="6" s="1"/>
  <c r="D93" i="1"/>
  <c r="J13" i="6" s="1"/>
  <c r="C12" i="2"/>
  <c r="C48" i="4"/>
  <c r="A100" i="2"/>
  <c r="A145" i="2" s="1"/>
  <c r="F39" i="4"/>
  <c r="A99" i="2"/>
  <c r="A144" i="2" s="1"/>
  <c r="G34" i="5"/>
  <c r="B62" i="4"/>
  <c r="A79" i="2" s="1"/>
  <c r="A90" i="2" s="1"/>
  <c r="A126" i="2" s="1"/>
  <c r="C207" i="1"/>
  <c r="K27" i="6" s="1"/>
  <c r="K120" i="1"/>
  <c r="C133" i="1"/>
  <c r="D19" i="6" s="1"/>
  <c r="C8" i="3"/>
  <c r="D30" i="6" s="1"/>
  <c r="E54" i="2"/>
  <c r="C192" i="1"/>
  <c r="D27" i="6" s="1"/>
  <c r="B28" i="1"/>
  <c r="D6" i="6" s="1"/>
  <c r="C14" i="7"/>
  <c r="C70" i="3"/>
  <c r="C18" i="2"/>
  <c r="B19" i="7"/>
  <c r="H39" i="4"/>
  <c r="A107" i="2"/>
  <c r="A152" i="2" s="1"/>
  <c r="B3" i="4"/>
  <c r="B41" i="4"/>
  <c r="B54" i="4" s="1"/>
  <c r="B188" i="2"/>
  <c r="B11" i="4"/>
  <c r="D88" i="1"/>
  <c r="H13" i="6" s="1"/>
  <c r="B16" i="1"/>
  <c r="C23" i="2"/>
  <c r="G54" i="5"/>
  <c r="A203" i="2"/>
  <c r="C50" i="6" s="1"/>
  <c r="D54" i="5"/>
  <c r="C108" i="1"/>
  <c r="F14" i="6" s="1"/>
  <c r="A101" i="2"/>
  <c r="A146" i="2" s="1"/>
  <c r="C162" i="1"/>
  <c r="D22" i="6" s="1"/>
  <c r="C143" i="1"/>
  <c r="G19" i="6" s="1"/>
  <c r="D39" i="5"/>
  <c r="D44" i="5"/>
  <c r="D51" i="4"/>
  <c r="B105" i="2"/>
  <c r="B150" i="2" s="1"/>
  <c r="B8" i="5"/>
  <c r="C69" i="3"/>
  <c r="D36" i="6" s="1"/>
  <c r="B4" i="3"/>
  <c r="E55" i="2"/>
  <c r="D61" i="1"/>
  <c r="G10" i="6" s="1"/>
  <c r="D29" i="5"/>
  <c r="F44" i="6"/>
  <c r="C6" i="7"/>
  <c r="C76" i="1"/>
  <c r="C18" i="5"/>
  <c r="E51" i="2"/>
  <c r="B106" i="2"/>
  <c r="B151" i="2" s="1"/>
  <c r="C28" i="2"/>
  <c r="B6" i="3" s="1"/>
  <c r="K33" i="3" s="1"/>
  <c r="B16" i="4"/>
  <c r="B50" i="6" s="1"/>
  <c r="C48" i="1"/>
  <c r="D8" i="6" s="1"/>
  <c r="A185" i="2"/>
  <c r="A17" i="8" s="1"/>
  <c r="C20" i="2"/>
  <c r="C187" i="1"/>
  <c r="D26" i="6" s="1"/>
  <c r="C202" i="1"/>
  <c r="G27" i="6" s="1"/>
  <c r="A76" i="3"/>
  <c r="C58" i="5"/>
  <c r="A200" i="2" s="1"/>
  <c r="B64" i="4"/>
  <c r="D45" i="6" s="1"/>
  <c r="B6" i="5"/>
  <c r="C51" i="6" s="1"/>
  <c r="C16" i="5"/>
  <c r="C5" i="7"/>
  <c r="C148" i="1"/>
  <c r="K19" i="6" s="1"/>
  <c r="A190" i="2"/>
  <c r="A22" i="8" s="1"/>
  <c r="C1" i="2"/>
  <c r="B2" i="1" s="1"/>
  <c r="B39" i="4"/>
  <c r="G44" i="5"/>
  <c r="G29" i="5"/>
  <c r="C38" i="5"/>
  <c r="A197" i="2" s="1"/>
  <c r="C32" i="2"/>
  <c r="C27" i="2"/>
  <c r="B154" i="1" s="1"/>
  <c r="K172" i="1" s="1"/>
  <c r="C48" i="5"/>
  <c r="A199" i="2" s="1"/>
  <c r="C81" i="1"/>
  <c r="C28" i="3"/>
  <c r="D33" i="6" s="1"/>
  <c r="B3" i="3"/>
  <c r="C75" i="1"/>
  <c r="D12" i="6" s="1"/>
  <c r="B3" i="5"/>
  <c r="C28" i="5"/>
  <c r="A195" i="2" s="1"/>
  <c r="D27" i="7"/>
  <c r="B7" i="11"/>
  <c r="C64" i="3"/>
  <c r="D39" i="6" s="1"/>
  <c r="J25" i="6"/>
  <c r="G49" i="2"/>
  <c r="H49" i="2" s="1"/>
  <c r="N83" i="2" s="1"/>
  <c r="F25" i="6"/>
  <c r="C5" i="6"/>
  <c r="B9" i="13"/>
  <c r="D14" i="14"/>
  <c r="B7" i="12"/>
  <c r="G54" i="2"/>
  <c r="H54" i="2" s="1"/>
  <c r="J88" i="2" s="1"/>
  <c r="D14" i="13"/>
  <c r="B9" i="14"/>
  <c r="G40" i="2"/>
  <c r="H40" i="2" s="1"/>
  <c r="G45" i="2"/>
  <c r="H45" i="2" s="1"/>
  <c r="O53" i="4" s="1"/>
  <c r="G81" i="2" s="1"/>
  <c r="G52" i="2"/>
  <c r="H52" i="2" s="1"/>
  <c r="N58" i="4" s="1"/>
  <c r="G48" i="2"/>
  <c r="H48" i="2" s="1"/>
  <c r="L82" i="2" s="1"/>
  <c r="B9" i="12"/>
  <c r="D23" i="6"/>
  <c r="G17" i="4"/>
  <c r="I90" i="2"/>
  <c r="B22" i="6"/>
  <c r="H43" i="6"/>
  <c r="E26" i="6"/>
  <c r="F27" i="6"/>
  <c r="K197" i="1"/>
  <c r="L27" i="6"/>
  <c r="C53" i="1"/>
  <c r="D9" i="6" s="1"/>
  <c r="D56" i="1"/>
  <c r="D10" i="6" s="1"/>
  <c r="C10" i="7"/>
  <c r="B23" i="7"/>
  <c r="D57" i="1"/>
  <c r="C78" i="1"/>
  <c r="K57" i="4"/>
  <c r="E24" i="12"/>
  <c r="M57" i="4"/>
  <c r="I57" i="4"/>
  <c r="F57" i="4"/>
  <c r="O57" i="4"/>
  <c r="E25" i="14"/>
  <c r="E57" i="4"/>
  <c r="D57" i="4"/>
  <c r="G57" i="4"/>
  <c r="J57" i="4"/>
  <c r="L57" i="4"/>
  <c r="H57" i="4"/>
  <c r="N57" i="4"/>
  <c r="L85" i="2"/>
  <c r="K85" i="2"/>
  <c r="J85" i="2"/>
  <c r="I85" i="2"/>
  <c r="H85" i="2"/>
  <c r="G85" i="2"/>
  <c r="F85" i="2"/>
  <c r="E85" i="2"/>
  <c r="P85" i="2"/>
  <c r="O85" i="2"/>
  <c r="N85" i="2"/>
  <c r="M85" i="2"/>
  <c r="J39" i="4"/>
  <c r="J17" i="4"/>
  <c r="J51" i="4"/>
  <c r="J62" i="4"/>
  <c r="G62" i="4"/>
  <c r="I51" i="4"/>
  <c r="C62" i="2"/>
  <c r="C63" i="2"/>
  <c r="C9" i="7"/>
  <c r="B5" i="3"/>
  <c r="B212" i="1"/>
  <c r="B63" i="5"/>
  <c r="B4" i="1"/>
  <c r="B75" i="3"/>
  <c r="B4" i="4"/>
  <c r="B5" i="5"/>
  <c r="B66" i="4"/>
  <c r="C3" i="6"/>
  <c r="G192" i="1" l="1"/>
  <c r="H42" i="6"/>
  <c r="F51" i="4"/>
  <c r="G202" i="1"/>
  <c r="K167" i="1"/>
  <c r="H51" i="4"/>
  <c r="F43" i="6"/>
  <c r="J66" i="2"/>
  <c r="E56" i="2"/>
  <c r="M18" i="4" s="1"/>
  <c r="F90" i="2"/>
  <c r="K90" i="2"/>
  <c r="H53" i="4"/>
  <c r="L81" i="2" s="1"/>
  <c r="E53" i="4"/>
  <c r="I81" i="2" s="1"/>
  <c r="N53" i="4"/>
  <c r="F81" i="2" s="1"/>
  <c r="O90" i="2"/>
  <c r="I53" i="4"/>
  <c r="M81" i="2" s="1"/>
  <c r="M90" i="2"/>
  <c r="H90" i="2"/>
  <c r="N90" i="2"/>
  <c r="E56" i="4"/>
  <c r="L90" i="2"/>
  <c r="E90" i="2"/>
  <c r="G53" i="4"/>
  <c r="K81" i="2" s="1"/>
  <c r="G90" i="2"/>
  <c r="L53" i="4"/>
  <c r="P81" i="2" s="1"/>
  <c r="J90" i="2"/>
  <c r="M53" i="4"/>
  <c r="E81" i="2" s="1"/>
  <c r="J53" i="4"/>
  <c r="N81" i="2" s="1"/>
  <c r="K53" i="4"/>
  <c r="O81" i="2" s="1"/>
  <c r="B9" i="5"/>
  <c r="D62" i="4"/>
  <c r="D53" i="4"/>
  <c r="H81" i="2" s="1"/>
  <c r="F53" i="4"/>
  <c r="J81" i="2" s="1"/>
  <c r="E88" i="2"/>
  <c r="N88" i="2"/>
  <c r="A38" i="14"/>
  <c r="C183" i="1"/>
  <c r="C198" i="1"/>
  <c r="A76" i="2"/>
  <c r="A87" i="2" s="1"/>
  <c r="A123" i="2" s="1"/>
  <c r="A134" i="2" s="1"/>
  <c r="B32" i="4"/>
  <c r="G89" i="2"/>
  <c r="K89" i="2"/>
  <c r="F88" i="2"/>
  <c r="L89" i="2"/>
  <c r="L58" i="4"/>
  <c r="J89" i="2"/>
  <c r="F41" i="6"/>
  <c r="N89" i="2"/>
  <c r="E28" i="14"/>
  <c r="J58" i="4"/>
  <c r="E27" i="12"/>
  <c r="F61" i="4"/>
  <c r="D61" i="4"/>
  <c r="P89" i="2"/>
  <c r="G61" i="4"/>
  <c r="L61" i="4"/>
  <c r="E61" i="4"/>
  <c r="I61" i="4"/>
  <c r="I88" i="2"/>
  <c r="M61" i="4"/>
  <c r="J61" i="4"/>
  <c r="H89" i="2"/>
  <c r="M89" i="2"/>
  <c r="O89" i="2"/>
  <c r="O61" i="4"/>
  <c r="H61" i="4"/>
  <c r="E89" i="2"/>
  <c r="D39" i="4"/>
  <c r="K61" i="4"/>
  <c r="N61" i="4"/>
  <c r="D42" i="6"/>
  <c r="F89" i="2"/>
  <c r="M58" i="4"/>
  <c r="P83" i="2"/>
  <c r="B30" i="6"/>
  <c r="C2" i="6"/>
  <c r="I86" i="2"/>
  <c r="G83" i="2"/>
  <c r="J84" i="2"/>
  <c r="C163" i="1"/>
  <c r="C209" i="1"/>
  <c r="M84" i="2"/>
  <c r="C208" i="1"/>
  <c r="K23" i="3"/>
  <c r="C173" i="1"/>
  <c r="G28" i="3"/>
  <c r="C193" i="1"/>
  <c r="G45" i="3"/>
  <c r="J86" i="2"/>
  <c r="C168" i="1"/>
  <c r="K84" i="2"/>
  <c r="G86" i="2"/>
  <c r="H86" i="2"/>
  <c r="D43" i="6"/>
  <c r="J83" i="2"/>
  <c r="P84" i="2"/>
  <c r="H84" i="2"/>
  <c r="H83" i="2"/>
  <c r="K56" i="4"/>
  <c r="K83" i="2"/>
  <c r="F84" i="2"/>
  <c r="O56" i="4"/>
  <c r="L56" i="4"/>
  <c r="O83" i="2"/>
  <c r="J56" i="4"/>
  <c r="I83" i="2"/>
  <c r="H56" i="4"/>
  <c r="J54" i="4"/>
  <c r="L83" i="2"/>
  <c r="N56" i="4"/>
  <c r="E21" i="12"/>
  <c r="F56" i="4"/>
  <c r="O82" i="2"/>
  <c r="N84" i="2"/>
  <c r="E23" i="12"/>
  <c r="E24" i="14"/>
  <c r="B71" i="1"/>
  <c r="K138" i="1" s="1"/>
  <c r="K54" i="4"/>
  <c r="G84" i="2"/>
  <c r="E84" i="2"/>
  <c r="M56" i="4"/>
  <c r="O84" i="2"/>
  <c r="E82" i="2"/>
  <c r="C73" i="3"/>
  <c r="D37" i="6" s="1"/>
  <c r="I84" i="2"/>
  <c r="B73" i="1"/>
  <c r="D56" i="4"/>
  <c r="E83" i="2"/>
  <c r="L84" i="2"/>
  <c r="B2" i="4"/>
  <c r="I56" i="4"/>
  <c r="F83" i="2"/>
  <c r="D41" i="6"/>
  <c r="O86" i="2"/>
  <c r="E58" i="4"/>
  <c r="F86" i="2"/>
  <c r="I58" i="4"/>
  <c r="C13" i="7"/>
  <c r="F58" i="4"/>
  <c r="B53" i="4"/>
  <c r="E86" i="2"/>
  <c r="P86" i="2"/>
  <c r="O58" i="4"/>
  <c r="G58" i="4"/>
  <c r="A37" i="12"/>
  <c r="K58" i="4"/>
  <c r="M51" i="4"/>
  <c r="N86" i="2"/>
  <c r="E26" i="14"/>
  <c r="H58" i="4"/>
  <c r="E25" i="12"/>
  <c r="M86" i="2"/>
  <c r="N51" i="4"/>
  <c r="L86" i="2"/>
  <c r="D58" i="4"/>
  <c r="A128" i="2"/>
  <c r="A166" i="2" s="1"/>
  <c r="A209" i="2"/>
  <c r="K86" i="2"/>
  <c r="C60" i="3"/>
  <c r="H41" i="6"/>
  <c r="G82" i="2"/>
  <c r="O51" i="4"/>
  <c r="K39" i="4"/>
  <c r="K51" i="4"/>
  <c r="L51" i="4"/>
  <c r="K88" i="2"/>
  <c r="A96" i="2"/>
  <c r="L39" i="4"/>
  <c r="G39" i="4"/>
  <c r="M82" i="2"/>
  <c r="F54" i="4"/>
  <c r="N82" i="2"/>
  <c r="G209" i="1"/>
  <c r="O54" i="4"/>
  <c r="M88" i="2"/>
  <c r="J82" i="2"/>
  <c r="E22" i="14"/>
  <c r="G54" i="4"/>
  <c r="E54" i="4"/>
  <c r="H54" i="4"/>
  <c r="L54" i="4"/>
  <c r="A72" i="2"/>
  <c r="A83" i="2" s="1"/>
  <c r="A119" i="2" s="1"/>
  <c r="A130" i="2" s="1"/>
  <c r="B24" i="4"/>
  <c r="M54" i="4"/>
  <c r="P82" i="2"/>
  <c r="D54" i="4"/>
  <c r="P88" i="2"/>
  <c r="K187" i="1"/>
  <c r="A137" i="2"/>
  <c r="F82" i="2"/>
  <c r="H82" i="2"/>
  <c r="N54" i="4"/>
  <c r="K82" i="2"/>
  <c r="K177" i="1"/>
  <c r="O88" i="2"/>
  <c r="I54" i="4"/>
  <c r="P90" i="2"/>
  <c r="E29" i="14"/>
  <c r="E28" i="12"/>
  <c r="I82" i="2"/>
  <c r="C12" i="7"/>
  <c r="C156" i="1"/>
  <c r="B2" i="3"/>
  <c r="B2" i="5"/>
  <c r="K8" i="3"/>
  <c r="K13" i="3"/>
  <c r="G38" i="3"/>
  <c r="K18" i="3"/>
  <c r="A37" i="14"/>
  <c r="B20" i="8"/>
  <c r="G60" i="4"/>
  <c r="E27" i="14"/>
  <c r="L60" i="4"/>
  <c r="E60" i="4"/>
  <c r="N60" i="4"/>
  <c r="M60" i="4"/>
  <c r="K60" i="4"/>
  <c r="F60" i="4"/>
  <c r="O60" i="4"/>
  <c r="H60" i="4"/>
  <c r="D60" i="4"/>
  <c r="G88" i="2"/>
  <c r="I60" i="4"/>
  <c r="J60" i="4"/>
  <c r="C188" i="1"/>
  <c r="C203" i="1"/>
  <c r="C178" i="1"/>
  <c r="E39" i="4"/>
  <c r="F42" i="6"/>
  <c r="A74" i="2"/>
  <c r="A85" i="2" s="1"/>
  <c r="A121" i="2" s="1"/>
  <c r="A132" i="2" s="1"/>
  <c r="B28" i="4"/>
  <c r="A75" i="2"/>
  <c r="A86" i="2" s="1"/>
  <c r="A122" i="2" s="1"/>
  <c r="A133" i="2" s="1"/>
  <c r="B30" i="4"/>
  <c r="L88" i="2"/>
  <c r="A73" i="2"/>
  <c r="A84" i="2" s="1"/>
  <c r="A120" i="2" s="1"/>
  <c r="A131" i="2" s="1"/>
  <c r="B26" i="4"/>
  <c r="A20" i="8"/>
  <c r="A36" i="12"/>
  <c r="D55" i="4"/>
  <c r="L55" i="4"/>
  <c r="O55" i="4"/>
  <c r="I55" i="4"/>
  <c r="H55" i="4"/>
  <c r="E22" i="12"/>
  <c r="N55" i="4"/>
  <c r="G55" i="4"/>
  <c r="J55" i="4"/>
  <c r="M55" i="4"/>
  <c r="K55" i="4"/>
  <c r="F55" i="4"/>
  <c r="E55" i="4"/>
  <c r="E23" i="14"/>
  <c r="M83" i="2"/>
  <c r="G182" i="1"/>
  <c r="K162" i="1"/>
  <c r="A78" i="2"/>
  <c r="A89" i="2" s="1"/>
  <c r="A125" i="2" s="1"/>
  <c r="A136" i="2" s="1"/>
  <c r="B36" i="4"/>
  <c r="A71" i="2"/>
  <c r="A82" i="2" s="1"/>
  <c r="A118" i="2" s="1"/>
  <c r="A129" i="2" s="1"/>
  <c r="B22" i="4"/>
  <c r="E26" i="12"/>
  <c r="H88" i="2"/>
  <c r="B34" i="4"/>
  <c r="A77" i="2"/>
  <c r="A88" i="2" s="1"/>
  <c r="A124" i="2" s="1"/>
  <c r="A135" i="2" s="1"/>
  <c r="A39" i="12"/>
  <c r="A40" i="14"/>
  <c r="L56" i="2"/>
  <c r="H18" i="4" s="1"/>
  <c r="G56" i="2"/>
  <c r="O18" i="4" s="1"/>
  <c r="F64" i="2"/>
  <c r="I56" i="2"/>
  <c r="E18" i="4" s="1"/>
  <c r="M66" i="2"/>
  <c r="H56" i="2"/>
  <c r="D18" i="4" s="1"/>
  <c r="P56" i="2"/>
  <c r="L18" i="4" s="1"/>
  <c r="N56" i="2"/>
  <c r="J18" i="4" s="1"/>
  <c r="L66" i="2"/>
  <c r="F56" i="2"/>
  <c r="N18" i="4" s="1"/>
  <c r="K66" i="2"/>
  <c r="O56" i="2"/>
  <c r="K18" i="4" s="1"/>
  <c r="J56" i="2"/>
  <c r="F18" i="4" s="1"/>
  <c r="O66" i="2"/>
  <c r="L64" i="2"/>
  <c r="M56" i="2"/>
  <c r="I18" i="4" s="1"/>
  <c r="K56" i="2"/>
  <c r="G18" i="4" s="1"/>
  <c r="P66" i="2"/>
  <c r="G64" i="2"/>
  <c r="F66" i="2"/>
  <c r="N66" i="2"/>
  <c r="O64" i="2"/>
  <c r="M64" i="2"/>
  <c r="E64" i="2"/>
  <c r="I64" i="2"/>
  <c r="H64" i="2"/>
  <c r="B63" i="2"/>
  <c r="E13" i="4" s="1"/>
  <c r="E66" i="2"/>
  <c r="K64" i="2"/>
  <c r="G66" i="2"/>
  <c r="H66" i="2"/>
  <c r="I66" i="2"/>
  <c r="N64" i="2"/>
  <c r="J64" i="2"/>
  <c r="P64" i="2"/>
  <c r="A156" i="2" l="1"/>
  <c r="A167" i="2"/>
  <c r="A174" i="2"/>
  <c r="A163" i="2"/>
  <c r="A170" i="2"/>
  <c r="A159" i="2"/>
  <c r="A157" i="2"/>
  <c r="A168" i="2"/>
  <c r="A32" i="12" s="1"/>
  <c r="A161" i="2"/>
  <c r="A172" i="2"/>
  <c r="A158" i="2"/>
  <c r="A169" i="2"/>
  <c r="A162" i="2"/>
  <c r="A173" i="2"/>
  <c r="B28" i="12"/>
  <c r="A164" i="2"/>
  <c r="A175" i="2"/>
  <c r="A160" i="2"/>
  <c r="A171" i="2"/>
  <c r="A63" i="2"/>
  <c r="A62" i="2"/>
  <c r="O92" i="2"/>
  <c r="F92" i="2"/>
  <c r="K128" i="1"/>
  <c r="H83" i="1"/>
  <c r="H88" i="1"/>
  <c r="K113" i="1"/>
  <c r="G150" i="1"/>
  <c r="G98" i="1"/>
  <c r="H93" i="1"/>
  <c r="K108" i="1"/>
  <c r="G143" i="1"/>
  <c r="G133" i="1"/>
  <c r="O94" i="2"/>
  <c r="G123" i="1"/>
  <c r="K118" i="1"/>
  <c r="E94" i="2"/>
  <c r="I92" i="2"/>
  <c r="L92" i="2"/>
  <c r="K103" i="1"/>
  <c r="B12" i="6"/>
  <c r="J92" i="2"/>
  <c r="H92" i="2"/>
  <c r="K92" i="2"/>
  <c r="E92" i="2"/>
  <c r="I94" i="2"/>
  <c r="K94" i="2"/>
  <c r="E52" i="4"/>
  <c r="G42" i="6" s="1"/>
  <c r="L94" i="2"/>
  <c r="J52" i="4"/>
  <c r="E44" i="6" s="1"/>
  <c r="F94" i="2"/>
  <c r="G94" i="2"/>
  <c r="G52" i="4"/>
  <c r="E43" i="6" s="1"/>
  <c r="G92" i="2"/>
  <c r="N92" i="2"/>
  <c r="J94" i="2"/>
  <c r="H52" i="4"/>
  <c r="G43" i="6" s="1"/>
  <c r="O52" i="4"/>
  <c r="I41" i="6" s="1"/>
  <c r="N52" i="4"/>
  <c r="G41" i="6" s="1"/>
  <c r="B29" i="14"/>
  <c r="M92" i="2"/>
  <c r="N94" i="2"/>
  <c r="P94" i="2"/>
  <c r="F52" i="4"/>
  <c r="I42" i="6" s="1"/>
  <c r="K52" i="4"/>
  <c r="G44" i="6" s="1"/>
  <c r="M52" i="4"/>
  <c r="E41" i="6" s="1"/>
  <c r="L52" i="4"/>
  <c r="I44" i="6" s="1"/>
  <c r="A33" i="14"/>
  <c r="B23" i="14"/>
  <c r="B22" i="12"/>
  <c r="P92" i="2"/>
  <c r="I52" i="4"/>
  <c r="I43" i="6" s="1"/>
  <c r="A35" i="14"/>
  <c r="B24" i="12"/>
  <c r="A34" i="12"/>
  <c r="B25" i="14"/>
  <c r="H94" i="2"/>
  <c r="M94" i="2"/>
  <c r="A32" i="14"/>
  <c r="B22" i="14"/>
  <c r="A31" i="12"/>
  <c r="B21" i="12"/>
  <c r="B26" i="14"/>
  <c r="A36" i="14"/>
  <c r="A35" i="12"/>
  <c r="B25" i="12"/>
  <c r="B24" i="14"/>
  <c r="B23" i="12"/>
  <c r="A34" i="14"/>
  <c r="A33" i="12"/>
  <c r="B26" i="12"/>
  <c r="B27" i="14"/>
  <c r="B27" i="12"/>
  <c r="A38" i="12"/>
  <c r="A39" i="14"/>
  <c r="B28" i="14"/>
  <c r="D52" i="4"/>
  <c r="E42" i="6" s="1"/>
  <c r="L67" i="2"/>
  <c r="L144" i="2" s="1"/>
  <c r="N67" i="2"/>
  <c r="P67" i="2"/>
  <c r="I67" i="2"/>
  <c r="H67" i="2"/>
  <c r="B17" i="11"/>
  <c r="B19" i="14"/>
  <c r="B18" i="12"/>
  <c r="B18" i="13"/>
  <c r="F67" i="2"/>
  <c r="F149" i="2" s="1"/>
  <c r="E67" i="2"/>
  <c r="J67" i="2"/>
  <c r="O67" i="2"/>
  <c r="G67" i="2"/>
  <c r="G144" i="2" s="1"/>
  <c r="M67" i="2"/>
  <c r="K67" i="2"/>
  <c r="A216" i="2" l="1"/>
  <c r="A9" i="8"/>
  <c r="A5" i="8"/>
  <c r="A212" i="2"/>
  <c r="A215" i="2"/>
  <c r="A8" i="8"/>
  <c r="A218" i="2"/>
  <c r="A11" i="8"/>
  <c r="A211" i="2"/>
  <c r="A4" i="8"/>
  <c r="A6" i="8"/>
  <c r="A213" i="2"/>
  <c r="A217" i="2"/>
  <c r="A10" i="8"/>
  <c r="A7" i="8"/>
  <c r="A214" i="2"/>
  <c r="A210" i="2"/>
  <c r="A3" i="8"/>
  <c r="E134" i="2"/>
  <c r="E122" i="2"/>
  <c r="E141" i="2"/>
  <c r="F45" i="6"/>
  <c r="L143" i="2"/>
  <c r="L135" i="2"/>
  <c r="L132" i="2"/>
  <c r="G134" i="2"/>
  <c r="G149" i="2"/>
  <c r="O134" i="2"/>
  <c r="O149" i="2"/>
  <c r="M134" i="2"/>
  <c r="M149" i="2"/>
  <c r="H134" i="2"/>
  <c r="H149" i="2"/>
  <c r="J134" i="2"/>
  <c r="J149" i="2"/>
  <c r="P134" i="2"/>
  <c r="P149" i="2"/>
  <c r="N134" i="2"/>
  <c r="N149" i="2"/>
  <c r="J148" i="2"/>
  <c r="L134" i="2"/>
  <c r="L149" i="2"/>
  <c r="E149" i="2"/>
  <c r="I134" i="2"/>
  <c r="I149" i="2"/>
  <c r="J139" i="2"/>
  <c r="K134" i="2"/>
  <c r="K149" i="2"/>
  <c r="F123" i="2"/>
  <c r="F134" i="2"/>
  <c r="L116" i="2"/>
  <c r="L151" i="2"/>
  <c r="N124" i="2"/>
  <c r="N123" i="2"/>
  <c r="P122" i="2"/>
  <c r="P123" i="2"/>
  <c r="I121" i="2"/>
  <c r="I123" i="2"/>
  <c r="L145" i="2"/>
  <c r="L123" i="2"/>
  <c r="H129" i="2"/>
  <c r="H123" i="2"/>
  <c r="O118" i="2"/>
  <c r="O123" i="2"/>
  <c r="J131" i="2"/>
  <c r="J123" i="2"/>
  <c r="K116" i="2"/>
  <c r="K123" i="2"/>
  <c r="M137" i="2"/>
  <c r="M123" i="2"/>
  <c r="G125" i="2"/>
  <c r="G123" i="2"/>
  <c r="E130" i="2"/>
  <c r="E123" i="2"/>
  <c r="G126" i="2"/>
  <c r="L137" i="2"/>
  <c r="N146" i="2"/>
  <c r="L120" i="2"/>
  <c r="N145" i="2"/>
  <c r="L129" i="2"/>
  <c r="L167" i="2" s="1"/>
  <c r="X3" i="8" s="1"/>
  <c r="L150" i="2"/>
  <c r="L131" i="2"/>
  <c r="N126" i="2"/>
  <c r="P129" i="2"/>
  <c r="P147" i="2"/>
  <c r="L122" i="2"/>
  <c r="P118" i="2"/>
  <c r="N137" i="2"/>
  <c r="L68" i="2"/>
  <c r="P117" i="2"/>
  <c r="L125" i="2"/>
  <c r="L128" i="2"/>
  <c r="N116" i="2"/>
  <c r="L148" i="2"/>
  <c r="L141" i="2"/>
  <c r="L179" i="2" s="1"/>
  <c r="L118" i="2"/>
  <c r="L156" i="2" s="1"/>
  <c r="L210" i="2" s="1"/>
  <c r="P128" i="2"/>
  <c r="L136" i="2"/>
  <c r="L121" i="2"/>
  <c r="N147" i="2"/>
  <c r="L130" i="2"/>
  <c r="L126" i="2"/>
  <c r="P145" i="2"/>
  <c r="L152" i="2"/>
  <c r="L133" i="2"/>
  <c r="L119" i="2"/>
  <c r="L124" i="2"/>
  <c r="L117" i="2"/>
  <c r="P152" i="2"/>
  <c r="P126" i="2"/>
  <c r="L147" i="2"/>
  <c r="L146" i="2"/>
  <c r="L184" i="2" s="1"/>
  <c r="L16" i="8" s="1"/>
  <c r="L139" i="2"/>
  <c r="G147" i="2"/>
  <c r="P143" i="2"/>
  <c r="P133" i="2"/>
  <c r="D64" i="4"/>
  <c r="N131" i="2"/>
  <c r="N139" i="2"/>
  <c r="N128" i="2"/>
  <c r="E96" i="2"/>
  <c r="O132" i="2"/>
  <c r="J144" i="2"/>
  <c r="J147" i="2"/>
  <c r="J128" i="2"/>
  <c r="G116" i="2"/>
  <c r="J141" i="2"/>
  <c r="G130" i="2"/>
  <c r="J133" i="2"/>
  <c r="G137" i="2"/>
  <c r="J121" i="2"/>
  <c r="O128" i="2"/>
  <c r="G128" i="2"/>
  <c r="J130" i="2"/>
  <c r="G143" i="2"/>
  <c r="J132" i="2"/>
  <c r="J146" i="2"/>
  <c r="G139" i="2"/>
  <c r="J116" i="2"/>
  <c r="G129" i="2"/>
  <c r="J150" i="2"/>
  <c r="I146" i="2"/>
  <c r="G151" i="2"/>
  <c r="J152" i="2"/>
  <c r="N135" i="2"/>
  <c r="I132" i="2"/>
  <c r="G120" i="2"/>
  <c r="J137" i="2"/>
  <c r="J119" i="2"/>
  <c r="J129" i="2"/>
  <c r="G117" i="2"/>
  <c r="J135" i="2"/>
  <c r="O116" i="2"/>
  <c r="I129" i="2"/>
  <c r="I116" i="2"/>
  <c r="I136" i="2"/>
  <c r="I119" i="2"/>
  <c r="N133" i="2"/>
  <c r="N150" i="2"/>
  <c r="P136" i="2"/>
  <c r="P121" i="2"/>
  <c r="I143" i="2"/>
  <c r="I130" i="2"/>
  <c r="I150" i="2"/>
  <c r="N132" i="2"/>
  <c r="N122" i="2"/>
  <c r="P131" i="2"/>
  <c r="P146" i="2"/>
  <c r="I144" i="2"/>
  <c r="I152" i="2"/>
  <c r="N125" i="2"/>
  <c r="N129" i="2"/>
  <c r="P151" i="2"/>
  <c r="P68" i="2"/>
  <c r="I133" i="2"/>
  <c r="N148" i="2"/>
  <c r="N186" i="2" s="1"/>
  <c r="N18" i="8" s="1"/>
  <c r="N120" i="2"/>
  <c r="P130" i="2"/>
  <c r="P116" i="2"/>
  <c r="I151" i="2"/>
  <c r="N118" i="2"/>
  <c r="N121" i="2"/>
  <c r="P125" i="2"/>
  <c r="P139" i="2"/>
  <c r="I128" i="2"/>
  <c r="N144" i="2"/>
  <c r="N68" i="2"/>
  <c r="N183" i="2" s="1"/>
  <c r="N15" i="8" s="1"/>
  <c r="P132" i="2"/>
  <c r="P135" i="2"/>
  <c r="I148" i="2"/>
  <c r="I135" i="2"/>
  <c r="N117" i="2"/>
  <c r="P137" i="2"/>
  <c r="P148" i="2"/>
  <c r="I120" i="2"/>
  <c r="N141" i="2"/>
  <c r="N136" i="2"/>
  <c r="P124" i="2"/>
  <c r="P120" i="2"/>
  <c r="I147" i="2"/>
  <c r="N119" i="2"/>
  <c r="N151" i="2"/>
  <c r="P141" i="2"/>
  <c r="I126" i="2"/>
  <c r="I131" i="2"/>
  <c r="N143" i="2"/>
  <c r="N130" i="2"/>
  <c r="P150" i="2"/>
  <c r="P144" i="2"/>
  <c r="I122" i="2"/>
  <c r="I139" i="2"/>
  <c r="N152" i="2"/>
  <c r="P119" i="2"/>
  <c r="I145" i="2"/>
  <c r="I124" i="2"/>
  <c r="G119" i="2"/>
  <c r="G131" i="2"/>
  <c r="J145" i="2"/>
  <c r="G150" i="2"/>
  <c r="G136" i="2"/>
  <c r="J136" i="2"/>
  <c r="M143" i="2"/>
  <c r="G133" i="2"/>
  <c r="J122" i="2"/>
  <c r="G121" i="2"/>
  <c r="G146" i="2"/>
  <c r="J68" i="2"/>
  <c r="G145" i="2"/>
  <c r="G141" i="2"/>
  <c r="G148" i="2"/>
  <c r="J143" i="2"/>
  <c r="J125" i="2"/>
  <c r="G132" i="2"/>
  <c r="G124" i="2"/>
  <c r="J120" i="2"/>
  <c r="J124" i="2"/>
  <c r="I137" i="2"/>
  <c r="G135" i="2"/>
  <c r="G152" i="2"/>
  <c r="G190" i="2" s="1"/>
  <c r="G22" i="8" s="1"/>
  <c r="J118" i="2"/>
  <c r="J117" i="2"/>
  <c r="I68" i="2"/>
  <c r="G122" i="2"/>
  <c r="G118" i="2"/>
  <c r="J151" i="2"/>
  <c r="J126" i="2"/>
  <c r="I125" i="2"/>
  <c r="H121" i="2"/>
  <c r="G68" i="2"/>
  <c r="M118" i="2"/>
  <c r="I141" i="2"/>
  <c r="M129" i="2"/>
  <c r="M122" i="2"/>
  <c r="K135" i="2"/>
  <c r="O137" i="2"/>
  <c r="O122" i="2"/>
  <c r="O144" i="2"/>
  <c r="O150" i="2"/>
  <c r="O151" i="2"/>
  <c r="O152" i="2"/>
  <c r="O133" i="2"/>
  <c r="I118" i="2"/>
  <c r="O125" i="2"/>
  <c r="I117" i="2"/>
  <c r="M116" i="2"/>
  <c r="M147" i="2"/>
  <c r="K146" i="2"/>
  <c r="K152" i="2"/>
  <c r="M120" i="2"/>
  <c r="M133" i="2"/>
  <c r="K130" i="2"/>
  <c r="K122" i="2"/>
  <c r="M117" i="2"/>
  <c r="M148" i="2"/>
  <c r="K147" i="2"/>
  <c r="K121" i="2"/>
  <c r="K148" i="2"/>
  <c r="M119" i="2"/>
  <c r="K141" i="2"/>
  <c r="O124" i="2"/>
  <c r="O117" i="2"/>
  <c r="E150" i="2"/>
  <c r="M150" i="2"/>
  <c r="M132" i="2"/>
  <c r="K143" i="2"/>
  <c r="O147" i="2"/>
  <c r="O119" i="2"/>
  <c r="E148" i="2"/>
  <c r="M141" i="2"/>
  <c r="M121" i="2"/>
  <c r="K144" i="2"/>
  <c r="E120" i="2"/>
  <c r="M136" i="2"/>
  <c r="K124" i="2"/>
  <c r="E133" i="2"/>
  <c r="M135" i="2"/>
  <c r="K68" i="2"/>
  <c r="E126" i="2"/>
  <c r="O145" i="2"/>
  <c r="E137" i="2"/>
  <c r="K150" i="2"/>
  <c r="M131" i="2"/>
  <c r="K119" i="2"/>
  <c r="O121" i="2"/>
  <c r="E129" i="2"/>
  <c r="K151" i="2"/>
  <c r="M128" i="2"/>
  <c r="M124" i="2"/>
  <c r="K131" i="2"/>
  <c r="O141" i="2"/>
  <c r="E131" i="2"/>
  <c r="M68" i="2"/>
  <c r="M139" i="2"/>
  <c r="M144" i="2"/>
  <c r="K145" i="2"/>
  <c r="O148" i="2"/>
  <c r="K129" i="2"/>
  <c r="E152" i="2"/>
  <c r="E132" i="2"/>
  <c r="K120" i="2"/>
  <c r="E135" i="2"/>
  <c r="K117" i="2"/>
  <c r="E139" i="2"/>
  <c r="O146" i="2"/>
  <c r="E144" i="2"/>
  <c r="O126" i="2"/>
  <c r="E146" i="2"/>
  <c r="O130" i="2"/>
  <c r="E118" i="2"/>
  <c r="E151" i="2"/>
  <c r="E116" i="2"/>
  <c r="F122" i="2"/>
  <c r="F147" i="2"/>
  <c r="F141" i="2"/>
  <c r="F136" i="2"/>
  <c r="F132" i="2"/>
  <c r="F68" i="2"/>
  <c r="F146" i="2"/>
  <c r="F120" i="2"/>
  <c r="F135" i="2"/>
  <c r="F133" i="2"/>
  <c r="F143" i="2"/>
  <c r="F137" i="2"/>
  <c r="F125" i="2"/>
  <c r="F144" i="2"/>
  <c r="F118" i="2"/>
  <c r="F126" i="2"/>
  <c r="F145" i="2"/>
  <c r="F119" i="2"/>
  <c r="F124" i="2"/>
  <c r="F150" i="2"/>
  <c r="F117" i="2"/>
  <c r="F116" i="2"/>
  <c r="F121" i="2"/>
  <c r="F148" i="2"/>
  <c r="F128" i="2"/>
  <c r="F152" i="2"/>
  <c r="F131" i="2"/>
  <c r="F151" i="2"/>
  <c r="F139" i="2"/>
  <c r="F130" i="2"/>
  <c r="F129" i="2"/>
  <c r="E147" i="2"/>
  <c r="E145" i="2"/>
  <c r="E136" i="2"/>
  <c r="E125" i="2"/>
  <c r="K132" i="2"/>
  <c r="K125" i="2"/>
  <c r="O135" i="2"/>
  <c r="E119" i="2"/>
  <c r="E124" i="2"/>
  <c r="M145" i="2"/>
  <c r="M151" i="2"/>
  <c r="K139" i="2"/>
  <c r="K137" i="2"/>
  <c r="O136" i="2"/>
  <c r="O120" i="2"/>
  <c r="E128" i="2"/>
  <c r="M125" i="2"/>
  <c r="M146" i="2"/>
  <c r="K118" i="2"/>
  <c r="K133" i="2"/>
  <c r="O131" i="2"/>
  <c r="O68" i="2"/>
  <c r="E143" i="2"/>
  <c r="E68" i="2"/>
  <c r="H132" i="2"/>
  <c r="H145" i="2"/>
  <c r="H116" i="2"/>
  <c r="H141" i="2"/>
  <c r="H119" i="2"/>
  <c r="H130" i="2"/>
  <c r="H118" i="2"/>
  <c r="H133" i="2"/>
  <c r="H137" i="2"/>
  <c r="H136" i="2"/>
  <c r="H128" i="2"/>
  <c r="H148" i="2"/>
  <c r="H122" i="2"/>
  <c r="H143" i="2"/>
  <c r="H150" i="2"/>
  <c r="H125" i="2"/>
  <c r="H139" i="2"/>
  <c r="H147" i="2"/>
  <c r="H124" i="2"/>
  <c r="H135" i="2"/>
  <c r="H117" i="2"/>
  <c r="H151" i="2"/>
  <c r="H146" i="2"/>
  <c r="H152" i="2"/>
  <c r="H126" i="2"/>
  <c r="H68" i="2"/>
  <c r="H144" i="2"/>
  <c r="H131" i="2"/>
  <c r="M130" i="2"/>
  <c r="M126" i="2"/>
  <c r="K128" i="2"/>
  <c r="K126" i="2"/>
  <c r="O129" i="2"/>
  <c r="O143" i="2"/>
  <c r="E121" i="2"/>
  <c r="E117" i="2"/>
  <c r="M152" i="2"/>
  <c r="K136" i="2"/>
  <c r="O139" i="2"/>
  <c r="H120" i="2"/>
  <c r="N208" i="2"/>
  <c r="N158" i="2"/>
  <c r="N5" i="8" s="1"/>
  <c r="N162" i="2"/>
  <c r="C38" i="13"/>
  <c r="N189" i="2"/>
  <c r="N21" i="8" s="1"/>
  <c r="B37" i="13"/>
  <c r="N174" i="2"/>
  <c r="Z10" i="8" s="1"/>
  <c r="D91" i="6"/>
  <c r="N166" i="2"/>
  <c r="Z2" i="8" s="1"/>
  <c r="N163" i="2"/>
  <c r="N164" i="2"/>
  <c r="N11" i="8" s="1"/>
  <c r="N184" i="2"/>
  <c r="N16" i="8" s="1"/>
  <c r="N169" i="2"/>
  <c r="Z5" i="8" s="1"/>
  <c r="N157" i="2"/>
  <c r="N4" i="8" s="1"/>
  <c r="N177" i="2"/>
  <c r="K90" i="6" s="1"/>
  <c r="C37" i="11"/>
  <c r="N171" i="2"/>
  <c r="Z7" i="8" s="1"/>
  <c r="D37" i="13"/>
  <c r="N159" i="2"/>
  <c r="N6" i="8" s="1"/>
  <c r="N167" i="2"/>
  <c r="Z3" i="8" s="1"/>
  <c r="N154" i="2"/>
  <c r="N1" i="8" s="1"/>
  <c r="N170" i="2"/>
  <c r="Z6" i="8" s="1"/>
  <c r="D89" i="6"/>
  <c r="D36" i="11"/>
  <c r="C89" i="6"/>
  <c r="N182" i="2"/>
  <c r="N14" i="8" s="1"/>
  <c r="L163" i="2"/>
  <c r="L164" i="2"/>
  <c r="L11" i="8" s="1"/>
  <c r="L155" i="2"/>
  <c r="L209" i="2" s="1"/>
  <c r="L171" i="2"/>
  <c r="X7" i="8" s="1"/>
  <c r="L158" i="2"/>
  <c r="L5" i="8" s="1"/>
  <c r="L160" i="2"/>
  <c r="L7" i="8" s="1"/>
  <c r="L159" i="2"/>
  <c r="L6" i="8" s="1"/>
  <c r="L208" i="2"/>
  <c r="C81" i="6"/>
  <c r="L166" i="2"/>
  <c r="X2" i="8" s="1"/>
  <c r="L170" i="2"/>
  <c r="X6" i="8" s="1"/>
  <c r="C34" i="13"/>
  <c r="L169" i="2"/>
  <c r="X5" i="8" s="1"/>
  <c r="L185" i="2"/>
  <c r="L17" i="8" s="1"/>
  <c r="L173" i="2"/>
  <c r="X9" i="8" s="1"/>
  <c r="L190" i="2"/>
  <c r="L22" i="8" s="1"/>
  <c r="L154" i="2"/>
  <c r="L1" i="8" s="1"/>
  <c r="C33" i="11"/>
  <c r="L157" i="2"/>
  <c r="L4" i="8" s="1"/>
  <c r="D32" i="11"/>
  <c r="D81" i="6"/>
  <c r="L182" i="2"/>
  <c r="L14" i="8" s="1"/>
  <c r="B33" i="13"/>
  <c r="D83" i="6"/>
  <c r="L186" i="2"/>
  <c r="L18" i="8" s="1"/>
  <c r="D33" i="13"/>
  <c r="L162" i="2"/>
  <c r="B32" i="11"/>
  <c r="L168" i="2"/>
  <c r="X4" i="8" s="1"/>
  <c r="L183" i="2"/>
  <c r="L15" i="8" s="1"/>
  <c r="E81" i="6"/>
  <c r="L181" i="2"/>
  <c r="L175" i="2"/>
  <c r="X11" i="8" s="1"/>
  <c r="G162" i="2"/>
  <c r="G208" i="2"/>
  <c r="G159" i="2"/>
  <c r="G6" i="8" s="1"/>
  <c r="G156" i="2"/>
  <c r="G210" i="2" s="1"/>
  <c r="G164" i="2"/>
  <c r="G11" i="8" s="1"/>
  <c r="G155" i="2"/>
  <c r="G209" i="2" s="1"/>
  <c r="G177" i="2"/>
  <c r="K62" i="6" s="1"/>
  <c r="G163" i="2"/>
  <c r="G188" i="2"/>
  <c r="G20" i="8" s="1"/>
  <c r="G181" i="2"/>
  <c r="G182" i="2"/>
  <c r="G14" i="8" s="1"/>
  <c r="G157" i="2"/>
  <c r="G4" i="8" s="1"/>
  <c r="D23" i="13"/>
  <c r="E61" i="6"/>
  <c r="C24" i="13"/>
  <c r="C23" i="11"/>
  <c r="D61" i="6"/>
  <c r="G174" i="2"/>
  <c r="S10" i="8" s="1"/>
  <c r="G175" i="2"/>
  <c r="S11" i="8" s="1"/>
  <c r="G169" i="2"/>
  <c r="S5" i="8" s="1"/>
  <c r="G170" i="2"/>
  <c r="S6" i="8" s="1"/>
  <c r="G158" i="2"/>
  <c r="G5" i="8" s="1"/>
  <c r="G171" i="2"/>
  <c r="S7" i="8" s="1"/>
  <c r="G167" i="2"/>
  <c r="S3" i="8" s="1"/>
  <c r="D63" i="6"/>
  <c r="G186" i="2"/>
  <c r="G18" i="8" s="1"/>
  <c r="D22" i="11"/>
  <c r="B36" i="11" l="1"/>
  <c r="N160" i="2"/>
  <c r="N7" i="8" s="1"/>
  <c r="E89" i="6"/>
  <c r="N175" i="2"/>
  <c r="Z11" i="8" s="1"/>
  <c r="N188" i="2"/>
  <c r="N20" i="8" s="1"/>
  <c r="N181" i="2"/>
  <c r="G189" i="2"/>
  <c r="G21" i="8" s="1"/>
  <c r="G154" i="2"/>
  <c r="G1" i="8" s="1"/>
  <c r="P169" i="2"/>
  <c r="AB5" i="8" s="1"/>
  <c r="C61" i="6"/>
  <c r="B22" i="11"/>
  <c r="B23" i="13"/>
  <c r="P189" i="2"/>
  <c r="P21" i="8" s="1"/>
  <c r="D41" i="13"/>
  <c r="E97" i="6"/>
  <c r="P179" i="2"/>
  <c r="K99" i="6" s="1"/>
  <c r="P185" i="2"/>
  <c r="P17" i="8" s="1"/>
  <c r="P163" i="2"/>
  <c r="P10" i="8" s="1"/>
  <c r="P170" i="2"/>
  <c r="AB6" i="8" s="1"/>
  <c r="B40" i="11"/>
  <c r="D40" i="11"/>
  <c r="P158" i="2"/>
  <c r="P5" i="8" s="1"/>
  <c r="C42" i="13"/>
  <c r="P168" i="2"/>
  <c r="AB4" i="8" s="1"/>
  <c r="P188" i="2"/>
  <c r="P20" i="8" s="1"/>
  <c r="P181" i="2"/>
  <c r="P156" i="2"/>
  <c r="P3" i="8" s="1"/>
  <c r="P182" i="2"/>
  <c r="P14" i="8" s="1"/>
  <c r="C41" i="11"/>
  <c r="P208" i="2"/>
  <c r="C97" i="6"/>
  <c r="P177" i="2"/>
  <c r="K98" i="6" s="1"/>
  <c r="P160" i="2"/>
  <c r="P7" i="8" s="1"/>
  <c r="D99" i="6"/>
  <c r="P210" i="2"/>
  <c r="P155" i="2"/>
  <c r="P209" i="2" s="1"/>
  <c r="P190" i="2"/>
  <c r="P22" i="8" s="1"/>
  <c r="P173" i="2"/>
  <c r="AB9" i="8" s="1"/>
  <c r="B41" i="13"/>
  <c r="P154" i="2"/>
  <c r="P1" i="8" s="1"/>
  <c r="P162" i="2"/>
  <c r="P164" i="2"/>
  <c r="P11" i="8" s="1"/>
  <c r="D97" i="6"/>
  <c r="P184" i="2"/>
  <c r="P16" i="8" s="1"/>
  <c r="P159" i="2"/>
  <c r="P6" i="8" s="1"/>
  <c r="P183" i="2"/>
  <c r="P15" i="8" s="1"/>
  <c r="P167" i="2"/>
  <c r="AB3" i="8" s="1"/>
  <c r="P171" i="2"/>
  <c r="AB7" i="8" s="1"/>
  <c r="P186" i="2"/>
  <c r="P18" i="8" s="1"/>
  <c r="P157" i="2"/>
  <c r="P4" i="8" s="1"/>
  <c r="L177" i="2"/>
  <c r="K82" i="6" s="1"/>
  <c r="L174" i="2"/>
  <c r="X10" i="8" s="1"/>
  <c r="L188" i="2"/>
  <c r="L20" i="8" s="1"/>
  <c r="P175" i="2"/>
  <c r="AB11" i="8" s="1"/>
  <c r="N168" i="2"/>
  <c r="Z4" i="8" s="1"/>
  <c r="N218" i="2"/>
  <c r="G211" i="2"/>
  <c r="N173" i="2"/>
  <c r="Z9" i="8" s="1"/>
  <c r="L212" i="2"/>
  <c r="G218" i="2"/>
  <c r="L218" i="2"/>
  <c r="P166" i="2"/>
  <c r="P174" i="2"/>
  <c r="AB10" i="8" s="1"/>
  <c r="G168" i="2"/>
  <c r="S4" i="8" s="1"/>
  <c r="G173" i="2"/>
  <c r="S9" i="8" s="1"/>
  <c r="O162" i="2"/>
  <c r="O9" i="8" s="1"/>
  <c r="E179" i="2"/>
  <c r="Q12" i="8" s="1"/>
  <c r="N190" i="2"/>
  <c r="N22" i="8" s="1"/>
  <c r="J185" i="2"/>
  <c r="J17" i="8" s="1"/>
  <c r="N9" i="8"/>
  <c r="N216" i="2"/>
  <c r="G9" i="8"/>
  <c r="G216" i="2"/>
  <c r="L9" i="8"/>
  <c r="L216" i="2"/>
  <c r="P9" i="8"/>
  <c r="P216" i="2"/>
  <c r="AB2" i="8"/>
  <c r="K97" i="6"/>
  <c r="E38" i="13"/>
  <c r="G38" i="13" s="1"/>
  <c r="H38" i="13" s="1"/>
  <c r="L10" i="8"/>
  <c r="L217" i="2"/>
  <c r="G10" i="8"/>
  <c r="G217" i="2"/>
  <c r="N10" i="8"/>
  <c r="N217" i="2"/>
  <c r="P217" i="2"/>
  <c r="E42" i="14"/>
  <c r="G42" i="14" s="1"/>
  <c r="H42" i="14" s="1"/>
  <c r="E41" i="12"/>
  <c r="G41" i="12" s="1"/>
  <c r="H41" i="12" s="1"/>
  <c r="E42" i="13"/>
  <c r="G42" i="13" s="1"/>
  <c r="H42" i="13" s="1"/>
  <c r="E41" i="11"/>
  <c r="G41" i="11" s="1"/>
  <c r="H41" i="11" s="1"/>
  <c r="E41" i="13"/>
  <c r="G41" i="13" s="1"/>
  <c r="H41" i="13" s="1"/>
  <c r="E40" i="11"/>
  <c r="G40" i="11" s="1"/>
  <c r="H40" i="11" s="1"/>
  <c r="L214" i="2"/>
  <c r="P214" i="2"/>
  <c r="G160" i="2"/>
  <c r="G7" i="8" s="1"/>
  <c r="L189" i="2"/>
  <c r="L21" i="8" s="1"/>
  <c r="G184" i="2"/>
  <c r="G16" i="8" s="1"/>
  <c r="G185" i="2"/>
  <c r="G17" i="8" s="1"/>
  <c r="O179" i="2"/>
  <c r="K95" i="6" s="1"/>
  <c r="N156" i="2"/>
  <c r="N210" i="2" s="1"/>
  <c r="E23" i="11"/>
  <c r="G23" i="11" s="1"/>
  <c r="H23" i="11" s="1"/>
  <c r="J183" i="2"/>
  <c r="J15" i="8" s="1"/>
  <c r="J179" i="2"/>
  <c r="V12" i="8" s="1"/>
  <c r="J168" i="2"/>
  <c r="V4" i="8" s="1"/>
  <c r="J160" i="2"/>
  <c r="J7" i="8" s="1"/>
  <c r="J190" i="2"/>
  <c r="J22" i="8" s="1"/>
  <c r="G183" i="2"/>
  <c r="G15" i="8" s="1"/>
  <c r="N179" i="2"/>
  <c r="K91" i="6" s="1"/>
  <c r="N185" i="2"/>
  <c r="N17" i="8" s="1"/>
  <c r="N155" i="2"/>
  <c r="N209" i="2" s="1"/>
  <c r="G179" i="2"/>
  <c r="S12" i="8" s="1"/>
  <c r="G166" i="2"/>
  <c r="S2" i="8" s="1"/>
  <c r="E24" i="13"/>
  <c r="G24" i="13" s="1"/>
  <c r="H24" i="13" s="1"/>
  <c r="E37" i="11"/>
  <c r="G37" i="11" s="1"/>
  <c r="H37" i="11" s="1"/>
  <c r="E40" i="12"/>
  <c r="G40" i="12" s="1"/>
  <c r="H40" i="12" s="1"/>
  <c r="E41" i="14"/>
  <c r="G41" i="14" s="1"/>
  <c r="H41" i="14" s="1"/>
  <c r="E32" i="11"/>
  <c r="G32" i="11" s="1"/>
  <c r="H32" i="11" s="1"/>
  <c r="K81" i="6"/>
  <c r="E33" i="13"/>
  <c r="E40" i="14"/>
  <c r="E36" i="11"/>
  <c r="K89" i="6"/>
  <c r="E39" i="12"/>
  <c r="G39" i="12" s="1"/>
  <c r="H39" i="12" s="1"/>
  <c r="E37" i="13"/>
  <c r="G37" i="13" s="1"/>
  <c r="H37" i="13" s="1"/>
  <c r="G213" i="2"/>
  <c r="N211" i="2"/>
  <c r="G214" i="2"/>
  <c r="I186" i="2"/>
  <c r="I18" i="8" s="1"/>
  <c r="I166" i="2"/>
  <c r="U2" i="8" s="1"/>
  <c r="I169" i="2"/>
  <c r="U5" i="8" s="1"/>
  <c r="O167" i="2"/>
  <c r="AA3" i="8" s="1"/>
  <c r="L211" i="2"/>
  <c r="L213" i="2"/>
  <c r="N213" i="2"/>
  <c r="O177" i="2"/>
  <c r="K94" i="6" s="1"/>
  <c r="G212" i="2"/>
  <c r="N214" i="2"/>
  <c r="N212" i="2"/>
  <c r="F187" i="2"/>
  <c r="E177" i="2"/>
  <c r="K54" i="6" s="1"/>
  <c r="E173" i="2"/>
  <c r="Q9" i="8" s="1"/>
  <c r="P187" i="2"/>
  <c r="N187" i="2"/>
  <c r="G187" i="2"/>
  <c r="L187" i="2"/>
  <c r="H187" i="2"/>
  <c r="E172" i="2"/>
  <c r="Q8" i="8" s="1"/>
  <c r="E187" i="2"/>
  <c r="J172" i="2"/>
  <c r="V8" i="8" s="1"/>
  <c r="J187" i="2"/>
  <c r="O172" i="2"/>
  <c r="AA8" i="8" s="1"/>
  <c r="O187" i="2"/>
  <c r="I172" i="2"/>
  <c r="U8" i="8" s="1"/>
  <c r="I187" i="2"/>
  <c r="K172" i="2"/>
  <c r="W8" i="8" s="1"/>
  <c r="K187" i="2"/>
  <c r="M172" i="2"/>
  <c r="Y8" i="8" s="1"/>
  <c r="M187" i="2"/>
  <c r="F161" i="2"/>
  <c r="F172" i="2"/>
  <c r="R8" i="8" s="1"/>
  <c r="H161" i="2"/>
  <c r="H172" i="2"/>
  <c r="T8" i="8" s="1"/>
  <c r="P161" i="2"/>
  <c r="P215" i="2" s="1"/>
  <c r="P172" i="2"/>
  <c r="AB8" i="8" s="1"/>
  <c r="N161" i="2"/>
  <c r="N172" i="2"/>
  <c r="Z8" i="8" s="1"/>
  <c r="G161" i="2"/>
  <c r="G172" i="2"/>
  <c r="S8" i="8" s="1"/>
  <c r="L161" i="2"/>
  <c r="L172" i="2"/>
  <c r="X8" i="8" s="1"/>
  <c r="E162" i="2"/>
  <c r="E161" i="2"/>
  <c r="J161" i="2"/>
  <c r="O161" i="2"/>
  <c r="I161" i="2"/>
  <c r="B35" i="13"/>
  <c r="M161" i="2"/>
  <c r="D30" i="11"/>
  <c r="K161" i="2"/>
  <c r="E191" i="2"/>
  <c r="F191" i="2" s="1"/>
  <c r="G191" i="2" s="1"/>
  <c r="E189" i="2"/>
  <c r="E21" i="8" s="1"/>
  <c r="J170" i="2"/>
  <c r="V6" i="8" s="1"/>
  <c r="J182" i="2"/>
  <c r="J14" i="8" s="1"/>
  <c r="E160" i="2"/>
  <c r="E7" i="8" s="1"/>
  <c r="E174" i="2"/>
  <c r="Q10" i="8" s="1"/>
  <c r="E159" i="2"/>
  <c r="E6" i="8" s="1"/>
  <c r="J154" i="2"/>
  <c r="J1" i="8" s="1"/>
  <c r="J12" i="8" s="1"/>
  <c r="J169" i="2"/>
  <c r="V5" i="8" s="1"/>
  <c r="J171" i="2"/>
  <c r="V7" i="8" s="1"/>
  <c r="E186" i="2"/>
  <c r="E18" i="8" s="1"/>
  <c r="E175" i="2"/>
  <c r="Q11" i="8" s="1"/>
  <c r="E53" i="6"/>
  <c r="B28" i="11"/>
  <c r="E168" i="2"/>
  <c r="Q4" i="8" s="1"/>
  <c r="E164" i="2"/>
  <c r="E11" i="8" s="1"/>
  <c r="J156" i="2"/>
  <c r="J3" i="8" s="1"/>
  <c r="J208" i="2"/>
  <c r="J158" i="2"/>
  <c r="J5" i="8" s="1"/>
  <c r="C19" i="11"/>
  <c r="B18" i="11"/>
  <c r="E155" i="2"/>
  <c r="E209" i="2" s="1"/>
  <c r="C30" i="13"/>
  <c r="C73" i="6"/>
  <c r="J159" i="2"/>
  <c r="E154" i="2"/>
  <c r="E1" i="8" s="1"/>
  <c r="E188" i="2"/>
  <c r="E20" i="8" s="1"/>
  <c r="E157" i="2"/>
  <c r="E4" i="8" s="1"/>
  <c r="D28" i="11"/>
  <c r="J184" i="2"/>
  <c r="J16" i="8" s="1"/>
  <c r="J157" i="2"/>
  <c r="J4" i="8" s="1"/>
  <c r="E170" i="2"/>
  <c r="Q6" i="8" s="1"/>
  <c r="E208" i="2"/>
  <c r="J189" i="2"/>
  <c r="J21" i="8" s="1"/>
  <c r="J188" i="2"/>
  <c r="J20" i="8" s="1"/>
  <c r="D19" i="13"/>
  <c r="E190" i="2"/>
  <c r="E22" i="8" s="1"/>
  <c r="J177" i="2"/>
  <c r="K74" i="6" s="1"/>
  <c r="J186" i="2"/>
  <c r="J18" i="8" s="1"/>
  <c r="J155" i="2"/>
  <c r="J209" i="2" s="1"/>
  <c r="E167" i="2"/>
  <c r="Q3" i="8" s="1"/>
  <c r="E171" i="2"/>
  <c r="Q7" i="8" s="1"/>
  <c r="B19" i="13"/>
  <c r="E163" i="2"/>
  <c r="C29" i="11"/>
  <c r="J167" i="2"/>
  <c r="V3" i="8" s="1"/>
  <c r="D18" i="11"/>
  <c r="E183" i="2"/>
  <c r="E15" i="8" s="1"/>
  <c r="E158" i="2"/>
  <c r="E5" i="8" s="1"/>
  <c r="D75" i="6"/>
  <c r="B29" i="13"/>
  <c r="D29" i="13"/>
  <c r="E169" i="2"/>
  <c r="Q5" i="8" s="1"/>
  <c r="E185" i="2"/>
  <c r="E17" i="8" s="1"/>
  <c r="C20" i="13"/>
  <c r="E156" i="2"/>
  <c r="E3" i="8" s="1"/>
  <c r="J164" i="2"/>
  <c r="J11" i="8" s="1"/>
  <c r="J163" i="2"/>
  <c r="C53" i="6"/>
  <c r="E184" i="2"/>
  <c r="E16" i="8" s="1"/>
  <c r="J174" i="2"/>
  <c r="V10" i="8" s="1"/>
  <c r="J166" i="2"/>
  <c r="V2" i="8" s="1"/>
  <c r="D53" i="6"/>
  <c r="E182" i="2"/>
  <c r="E14" i="8" s="1"/>
  <c r="D55" i="6"/>
  <c r="E73" i="6"/>
  <c r="J181" i="2"/>
  <c r="J13" i="8" s="1"/>
  <c r="J175" i="2"/>
  <c r="V11" i="8" s="1"/>
  <c r="J162" i="2"/>
  <c r="E181" i="2"/>
  <c r="E166" i="2"/>
  <c r="Q2" i="8" s="1"/>
  <c r="D73" i="6"/>
  <c r="J173" i="2"/>
  <c r="V9" i="8" s="1"/>
  <c r="D79" i="6"/>
  <c r="I173" i="2"/>
  <c r="U9" i="8" s="1"/>
  <c r="I174" i="2"/>
  <c r="U10" i="8" s="1"/>
  <c r="I170" i="2"/>
  <c r="U6" i="8" s="1"/>
  <c r="O190" i="2"/>
  <c r="O22" i="8" s="1"/>
  <c r="I156" i="2"/>
  <c r="I3" i="8" s="1"/>
  <c r="D26" i="11"/>
  <c r="O169" i="2"/>
  <c r="AA5" i="8" s="1"/>
  <c r="E93" i="6"/>
  <c r="O168" i="2"/>
  <c r="AA4" i="8" s="1"/>
  <c r="I189" i="2"/>
  <c r="I21" i="8" s="1"/>
  <c r="I181" i="2"/>
  <c r="O157" i="2"/>
  <c r="O4" i="8" s="1"/>
  <c r="O160" i="2"/>
  <c r="O7" i="8" s="1"/>
  <c r="O186" i="2"/>
  <c r="O18" i="8" s="1"/>
  <c r="I188" i="2"/>
  <c r="I20" i="8" s="1"/>
  <c r="I154" i="2"/>
  <c r="I1" i="8" s="1"/>
  <c r="U1" i="8" s="1"/>
  <c r="I158" i="2"/>
  <c r="I5" i="8" s="1"/>
  <c r="B27" i="13"/>
  <c r="I171" i="2"/>
  <c r="U7" i="8" s="1"/>
  <c r="D95" i="6"/>
  <c r="O175" i="2"/>
  <c r="AA11" i="8" s="1"/>
  <c r="O154" i="2"/>
  <c r="O1" i="8" s="1"/>
  <c r="AA1" i="8" s="1"/>
  <c r="O159" i="2"/>
  <c r="O6" i="8" s="1"/>
  <c r="B26" i="11"/>
  <c r="I157" i="2"/>
  <c r="I4" i="8" s="1"/>
  <c r="I164" i="2"/>
  <c r="I11" i="8" s="1"/>
  <c r="D38" i="11"/>
  <c r="O185" i="2"/>
  <c r="O17" i="8" s="1"/>
  <c r="I175" i="2"/>
  <c r="U11" i="8" s="1"/>
  <c r="I183" i="2"/>
  <c r="I15" i="8" s="1"/>
  <c r="I208" i="2"/>
  <c r="B39" i="13"/>
  <c r="O174" i="2"/>
  <c r="AA10" i="8" s="1"/>
  <c r="O156" i="2"/>
  <c r="O210" i="2" s="1"/>
  <c r="I162" i="2"/>
  <c r="I185" i="2"/>
  <c r="I17" i="8" s="1"/>
  <c r="O181" i="2"/>
  <c r="O13" i="8" s="1"/>
  <c r="O173" i="2"/>
  <c r="AA9" i="8" s="1"/>
  <c r="B38" i="11"/>
  <c r="O155" i="2"/>
  <c r="O2" i="8" s="1"/>
  <c r="I182" i="2"/>
  <c r="I14" i="8" s="1"/>
  <c r="D71" i="6"/>
  <c r="D27" i="13"/>
  <c r="O182" i="2"/>
  <c r="O14" i="8" s="1"/>
  <c r="O171" i="2"/>
  <c r="AA7" i="8" s="1"/>
  <c r="O158" i="2"/>
  <c r="O5" i="8" s="1"/>
  <c r="E69" i="6"/>
  <c r="C69" i="6"/>
  <c r="I159" i="2"/>
  <c r="I6" i="8" s="1"/>
  <c r="O183" i="2"/>
  <c r="O15" i="8" s="1"/>
  <c r="O188" i="2"/>
  <c r="O20" i="8" s="1"/>
  <c r="I167" i="2"/>
  <c r="U3" i="8" s="1"/>
  <c r="D67" i="6"/>
  <c r="C93" i="6"/>
  <c r="O164" i="2"/>
  <c r="O11" i="8" s="1"/>
  <c r="D93" i="6"/>
  <c r="I168" i="2"/>
  <c r="U4" i="8" s="1"/>
  <c r="C28" i="13"/>
  <c r="I190" i="2"/>
  <c r="I22" i="8" s="1"/>
  <c r="C39" i="11"/>
  <c r="O208" i="2"/>
  <c r="I184" i="2"/>
  <c r="I16" i="8" s="1"/>
  <c r="D69" i="6"/>
  <c r="D65" i="6"/>
  <c r="I155" i="2"/>
  <c r="C27" i="13" s="1"/>
  <c r="O166" i="2"/>
  <c r="AA2" i="8" s="1"/>
  <c r="O184" i="2"/>
  <c r="O16" i="8" s="1"/>
  <c r="I179" i="2"/>
  <c r="U12" i="8" s="1"/>
  <c r="C27" i="11"/>
  <c r="I163" i="2"/>
  <c r="C40" i="13"/>
  <c r="D39" i="13"/>
  <c r="O163" i="2"/>
  <c r="I177" i="2"/>
  <c r="K70" i="6" s="1"/>
  <c r="E65" i="6"/>
  <c r="I160" i="2"/>
  <c r="I7" i="8" s="1"/>
  <c r="O170" i="2"/>
  <c r="AA6" i="8" s="1"/>
  <c r="O189" i="2"/>
  <c r="O21" i="8" s="1"/>
  <c r="K154" i="2"/>
  <c r="K1" i="8" s="1"/>
  <c r="W1" i="8" s="1"/>
  <c r="K190" i="2"/>
  <c r="K22" i="8" s="1"/>
  <c r="K163" i="2"/>
  <c r="M184" i="2"/>
  <c r="M16" i="8" s="1"/>
  <c r="M182" i="2"/>
  <c r="M14" i="8" s="1"/>
  <c r="M183" i="2"/>
  <c r="M15" i="8" s="1"/>
  <c r="D85" i="6"/>
  <c r="M173" i="2"/>
  <c r="Y9" i="8" s="1"/>
  <c r="M162" i="2"/>
  <c r="M155" i="2"/>
  <c r="D86" i="6" s="1"/>
  <c r="M208" i="2"/>
  <c r="D35" i="13"/>
  <c r="C36" i="13"/>
  <c r="M168" i="2"/>
  <c r="Y4" i="8" s="1"/>
  <c r="M169" i="2"/>
  <c r="Y5" i="8" s="1"/>
  <c r="M171" i="2"/>
  <c r="Y7" i="8" s="1"/>
  <c r="D87" i="6"/>
  <c r="M163" i="2"/>
  <c r="M157" i="2"/>
  <c r="M4" i="8" s="1"/>
  <c r="C77" i="6"/>
  <c r="C35" i="11"/>
  <c r="M188" i="2"/>
  <c r="M20" i="8" s="1"/>
  <c r="K170" i="2"/>
  <c r="W6" i="8" s="1"/>
  <c r="B30" i="11"/>
  <c r="M190" i="2"/>
  <c r="M22" i="8" s="1"/>
  <c r="M181" i="2"/>
  <c r="B31" i="13"/>
  <c r="K155" i="2"/>
  <c r="C30" i="11" s="1"/>
  <c r="M160" i="2"/>
  <c r="M7" i="8" s="1"/>
  <c r="E85" i="6"/>
  <c r="M167" i="2"/>
  <c r="Y3" i="8" s="1"/>
  <c r="K173" i="2"/>
  <c r="W9" i="8" s="1"/>
  <c r="C32" i="13"/>
  <c r="M185" i="2"/>
  <c r="M17" i="8" s="1"/>
  <c r="M174" i="2"/>
  <c r="Y10" i="8" s="1"/>
  <c r="M159" i="2"/>
  <c r="M6" i="8" s="1"/>
  <c r="M166" i="2"/>
  <c r="Y2" i="8" s="1"/>
  <c r="M164" i="2"/>
  <c r="M11" i="8" s="1"/>
  <c r="K177" i="2"/>
  <c r="K78" i="6" s="1"/>
  <c r="K208" i="2"/>
  <c r="M175" i="2"/>
  <c r="Y11" i="8" s="1"/>
  <c r="B34" i="11"/>
  <c r="K182" i="2"/>
  <c r="K14" i="8" s="1"/>
  <c r="M177" i="2"/>
  <c r="K86" i="6" s="1"/>
  <c r="M158" i="2"/>
  <c r="M5" i="8" s="1"/>
  <c r="K186" i="2"/>
  <c r="K18" i="8" s="1"/>
  <c r="K164" i="2"/>
  <c r="K11" i="8" s="1"/>
  <c r="C85" i="6"/>
  <c r="M170" i="2"/>
  <c r="Y6" i="8" s="1"/>
  <c r="D34" i="11"/>
  <c r="M186" i="2"/>
  <c r="M18" i="8" s="1"/>
  <c r="M189" i="2"/>
  <c r="M21" i="8" s="1"/>
  <c r="M179" i="2"/>
  <c r="Y12" i="8" s="1"/>
  <c r="M156" i="2"/>
  <c r="M3" i="8" s="1"/>
  <c r="K175" i="2"/>
  <c r="W11" i="8" s="1"/>
  <c r="M154" i="2"/>
  <c r="M1" i="8" s="1"/>
  <c r="M12" i="8" s="1"/>
  <c r="K189" i="2"/>
  <c r="K21" i="8" s="1"/>
  <c r="K160" i="2"/>
  <c r="K7" i="8" s="1"/>
  <c r="K168" i="2"/>
  <c r="W4" i="8" s="1"/>
  <c r="K156" i="2"/>
  <c r="K3" i="8" s="1"/>
  <c r="D31" i="13"/>
  <c r="K159" i="2"/>
  <c r="K6" i="8" s="1"/>
  <c r="K184" i="2"/>
  <c r="K16" i="8" s="1"/>
  <c r="E77" i="6"/>
  <c r="K188" i="2"/>
  <c r="K20" i="8" s="1"/>
  <c r="C31" i="11"/>
  <c r="K179" i="2"/>
  <c r="W12" i="8" s="1"/>
  <c r="K158" i="2"/>
  <c r="K5" i="8" s="1"/>
  <c r="K166" i="2"/>
  <c r="W2" i="8" s="1"/>
  <c r="K183" i="2"/>
  <c r="K15" i="8" s="1"/>
  <c r="K169" i="2"/>
  <c r="W5" i="8" s="1"/>
  <c r="K167" i="2"/>
  <c r="W3" i="8" s="1"/>
  <c r="K181" i="2"/>
  <c r="K13" i="8" s="1"/>
  <c r="D77" i="6"/>
  <c r="K157" i="2"/>
  <c r="K4" i="8" s="1"/>
  <c r="K185" i="2"/>
  <c r="K17" i="8" s="1"/>
  <c r="K171" i="2"/>
  <c r="W7" i="8" s="1"/>
  <c r="K174" i="2"/>
  <c r="W10" i="8" s="1"/>
  <c r="K162" i="2"/>
  <c r="F155" i="2"/>
  <c r="F209" i="2" s="1"/>
  <c r="C22" i="13"/>
  <c r="F174" i="2"/>
  <c r="R10" i="8" s="1"/>
  <c r="C21" i="11"/>
  <c r="F173" i="2"/>
  <c r="R9" i="8" s="1"/>
  <c r="D20" i="11"/>
  <c r="F189" i="2"/>
  <c r="F21" i="8" s="1"/>
  <c r="B20" i="11"/>
  <c r="F175" i="2"/>
  <c r="R11" i="8" s="1"/>
  <c r="F157" i="2"/>
  <c r="F4" i="8" s="1"/>
  <c r="F186" i="2"/>
  <c r="F18" i="8" s="1"/>
  <c r="F166" i="2"/>
  <c r="R2" i="8" s="1"/>
  <c r="E57" i="6"/>
  <c r="D21" i="13"/>
  <c r="D59" i="6"/>
  <c r="F169" i="2"/>
  <c r="R5" i="8" s="1"/>
  <c r="F182" i="2"/>
  <c r="F14" i="8" s="1"/>
  <c r="F185" i="2"/>
  <c r="F17" i="8" s="1"/>
  <c r="F177" i="2"/>
  <c r="K58" i="6" s="1"/>
  <c r="D57" i="6"/>
  <c r="F158" i="2"/>
  <c r="F5" i="8" s="1"/>
  <c r="F171" i="2"/>
  <c r="R7" i="8" s="1"/>
  <c r="F164" i="2"/>
  <c r="F11" i="8" s="1"/>
  <c r="F179" i="2"/>
  <c r="F181" i="2"/>
  <c r="F168" i="2"/>
  <c r="R4" i="8" s="1"/>
  <c r="C57" i="6"/>
  <c r="F190" i="2"/>
  <c r="F22" i="8" s="1"/>
  <c r="F159" i="2"/>
  <c r="F6" i="8" s="1"/>
  <c r="F183" i="2"/>
  <c r="F15" i="8" s="1"/>
  <c r="F163" i="2"/>
  <c r="F188" i="2"/>
  <c r="F20" i="8" s="1"/>
  <c r="B21" i="13"/>
  <c r="F160" i="2"/>
  <c r="F7" i="8" s="1"/>
  <c r="F170" i="2"/>
  <c r="R6" i="8" s="1"/>
  <c r="F167" i="2"/>
  <c r="R3" i="8" s="1"/>
  <c r="F184" i="2"/>
  <c r="F16" i="8" s="1"/>
  <c r="F208" i="2"/>
  <c r="F162" i="2"/>
  <c r="F156" i="2"/>
  <c r="F210" i="2" s="1"/>
  <c r="F154" i="2"/>
  <c r="F1" i="8" s="1"/>
  <c r="H171" i="2"/>
  <c r="T7" i="8" s="1"/>
  <c r="C25" i="11"/>
  <c r="H159" i="2"/>
  <c r="H6" i="8" s="1"/>
  <c r="H167" i="2"/>
  <c r="T3" i="8" s="1"/>
  <c r="H190" i="2"/>
  <c r="H22" i="8" s="1"/>
  <c r="H162" i="2"/>
  <c r="H183" i="2"/>
  <c r="H15" i="8" s="1"/>
  <c r="H169" i="2"/>
  <c r="T5" i="8" s="1"/>
  <c r="H156" i="2"/>
  <c r="H210" i="2" s="1"/>
  <c r="H181" i="2"/>
  <c r="B24" i="11"/>
  <c r="H155" i="2"/>
  <c r="H209" i="2" s="1"/>
  <c r="H175" i="2"/>
  <c r="T11" i="8" s="1"/>
  <c r="H160" i="2"/>
  <c r="H7" i="8" s="1"/>
  <c r="H188" i="2"/>
  <c r="H20" i="8" s="1"/>
  <c r="H186" i="2"/>
  <c r="H18" i="8" s="1"/>
  <c r="H177" i="2"/>
  <c r="K66" i="6" s="1"/>
  <c r="H168" i="2"/>
  <c r="T4" i="8" s="1"/>
  <c r="H182" i="2"/>
  <c r="H14" i="8" s="1"/>
  <c r="H184" i="2"/>
  <c r="H16" i="8" s="1"/>
  <c r="C65" i="6"/>
  <c r="H154" i="2"/>
  <c r="H1" i="8" s="1"/>
  <c r="H158" i="2"/>
  <c r="H5" i="8" s="1"/>
  <c r="H179" i="2"/>
  <c r="D25" i="13"/>
  <c r="H164" i="2"/>
  <c r="H11" i="8" s="1"/>
  <c r="H189" i="2"/>
  <c r="H21" i="8" s="1"/>
  <c r="H173" i="2"/>
  <c r="T9" i="8" s="1"/>
  <c r="H174" i="2"/>
  <c r="T10" i="8" s="1"/>
  <c r="H208" i="2"/>
  <c r="H163" i="2"/>
  <c r="H185" i="2"/>
  <c r="H17" i="8" s="1"/>
  <c r="C26" i="13"/>
  <c r="H170" i="2"/>
  <c r="T6" i="8" s="1"/>
  <c r="D24" i="11"/>
  <c r="B25" i="13"/>
  <c r="H157" i="2"/>
  <c r="H4" i="8" s="1"/>
  <c r="H166" i="2"/>
  <c r="T2" i="8" s="1"/>
  <c r="G33" i="13"/>
  <c r="H33" i="13" s="1"/>
  <c r="AB1" i="8"/>
  <c r="P12" i="8"/>
  <c r="L3" i="8"/>
  <c r="K83" i="6"/>
  <c r="X12" i="8"/>
  <c r="L13" i="8"/>
  <c r="D98" i="6"/>
  <c r="N12" i="8"/>
  <c r="Z1" i="8"/>
  <c r="C23" i="13"/>
  <c r="G2" i="8"/>
  <c r="C22" i="11"/>
  <c r="D62" i="6"/>
  <c r="L12" i="8"/>
  <c r="X1" i="8"/>
  <c r="G40" i="14"/>
  <c r="H40" i="14" s="1"/>
  <c r="G3" i="8"/>
  <c r="P13" i="8"/>
  <c r="N13" i="8"/>
  <c r="G36" i="11"/>
  <c r="H36" i="11" s="1"/>
  <c r="G13" i="8"/>
  <c r="G12" i="8"/>
  <c r="S1" i="8"/>
  <c r="C33" i="13"/>
  <c r="C32" i="11"/>
  <c r="L2" i="8"/>
  <c r="D82" i="6"/>
  <c r="AB12" i="8" l="1"/>
  <c r="C41" i="13"/>
  <c r="P212" i="2"/>
  <c r="C40" i="11"/>
  <c r="P2" i="8"/>
  <c r="E34" i="13"/>
  <c r="G34" i="13" s="1"/>
  <c r="H34" i="13" s="1"/>
  <c r="E33" i="11"/>
  <c r="G33" i="11" s="1"/>
  <c r="H33" i="11" s="1"/>
  <c r="P211" i="2"/>
  <c r="P213" i="2"/>
  <c r="P218" i="2"/>
  <c r="P219" i="2" s="1"/>
  <c r="C36" i="11"/>
  <c r="N2" i="8"/>
  <c r="O218" i="2"/>
  <c r="O216" i="2"/>
  <c r="J2" i="8"/>
  <c r="D74" i="6"/>
  <c r="C28" i="11"/>
  <c r="H213" i="2"/>
  <c r="C29" i="13"/>
  <c r="M218" i="2"/>
  <c r="D90" i="6"/>
  <c r="C37" i="13"/>
  <c r="I218" i="2"/>
  <c r="K218" i="2"/>
  <c r="H218" i="2"/>
  <c r="J214" i="2"/>
  <c r="J218" i="2"/>
  <c r="F218" i="2"/>
  <c r="E218" i="2"/>
  <c r="L219" i="2"/>
  <c r="M214" i="2"/>
  <c r="K9" i="8"/>
  <c r="K216" i="2"/>
  <c r="H9" i="8"/>
  <c r="H216" i="2"/>
  <c r="E9" i="8"/>
  <c r="E216" i="2"/>
  <c r="J9" i="8"/>
  <c r="J216" i="2"/>
  <c r="M9" i="8"/>
  <c r="M216" i="2"/>
  <c r="F9" i="8"/>
  <c r="F216" i="2"/>
  <c r="I9" i="8"/>
  <c r="I216" i="2"/>
  <c r="O10" i="8"/>
  <c r="O217" i="2"/>
  <c r="H10" i="8"/>
  <c r="H217" i="2"/>
  <c r="I10" i="8"/>
  <c r="I217" i="2"/>
  <c r="E10" i="8"/>
  <c r="E217" i="2"/>
  <c r="K10" i="8"/>
  <c r="K217" i="2"/>
  <c r="M10" i="8"/>
  <c r="M217" i="2"/>
  <c r="J10" i="8"/>
  <c r="J217" i="2"/>
  <c r="F10" i="8"/>
  <c r="F217" i="2"/>
  <c r="I211" i="2"/>
  <c r="M210" i="2"/>
  <c r="N3" i="8"/>
  <c r="E31" i="11"/>
  <c r="G31" i="11" s="1"/>
  <c r="H31" i="11" s="1"/>
  <c r="K212" i="2"/>
  <c r="I212" i="2"/>
  <c r="K75" i="6"/>
  <c r="Z12" i="8"/>
  <c r="E27" i="11"/>
  <c r="G27" i="11" s="1"/>
  <c r="L8" i="8"/>
  <c r="E82" i="6"/>
  <c r="O19" i="8"/>
  <c r="F19" i="8"/>
  <c r="D60" i="6"/>
  <c r="G8" i="8"/>
  <c r="E62" i="6"/>
  <c r="J19" i="8"/>
  <c r="N8" i="8"/>
  <c r="E90" i="6"/>
  <c r="K8" i="8"/>
  <c r="E78" i="6"/>
  <c r="E19" i="8"/>
  <c r="D56" i="6"/>
  <c r="P8" i="8"/>
  <c r="E98" i="6"/>
  <c r="M8" i="8"/>
  <c r="E86" i="6"/>
  <c r="H19" i="8"/>
  <c r="H8" i="8"/>
  <c r="E66" i="6"/>
  <c r="L19" i="8"/>
  <c r="I8" i="8"/>
  <c r="E70" i="6"/>
  <c r="G19" i="8"/>
  <c r="D64" i="6"/>
  <c r="O8" i="8"/>
  <c r="E94" i="6"/>
  <c r="F8" i="8"/>
  <c r="E58" i="6"/>
  <c r="N19" i="8"/>
  <c r="J8" i="8"/>
  <c r="E74" i="6"/>
  <c r="M19" i="8"/>
  <c r="P19" i="8"/>
  <c r="I19" i="8"/>
  <c r="E8" i="8"/>
  <c r="E54" i="6"/>
  <c r="K19" i="8"/>
  <c r="Q179" i="2"/>
  <c r="I50" i="6" s="1"/>
  <c r="K211" i="2"/>
  <c r="M212" i="2"/>
  <c r="M213" i="2"/>
  <c r="H215" i="2"/>
  <c r="I210" i="2"/>
  <c r="H191" i="2"/>
  <c r="I191" i="2" s="1"/>
  <c r="J191" i="2" s="1"/>
  <c r="K191" i="2" s="1"/>
  <c r="L191" i="2" s="1"/>
  <c r="M191" i="2" s="1"/>
  <c r="N191" i="2" s="1"/>
  <c r="D92" i="6" s="1"/>
  <c r="L215" i="2"/>
  <c r="I213" i="2"/>
  <c r="N215" i="2"/>
  <c r="K210" i="2"/>
  <c r="K63" i="6"/>
  <c r="C18" i="11"/>
  <c r="E2" i="8"/>
  <c r="C19" i="13"/>
  <c r="D54" i="6"/>
  <c r="G215" i="2"/>
  <c r="G219" i="2" s="1"/>
  <c r="E22" i="11"/>
  <c r="G22" i="11" s="1"/>
  <c r="H22" i="11" s="1"/>
  <c r="E23" i="13"/>
  <c r="G23" i="13" s="1"/>
  <c r="H23" i="13" s="1"/>
  <c r="K61" i="6"/>
  <c r="F214" i="2"/>
  <c r="F213" i="2"/>
  <c r="K12" i="8"/>
  <c r="Y1" i="8"/>
  <c r="E20" i="13"/>
  <c r="G20" i="13" s="1"/>
  <c r="H20" i="13" s="1"/>
  <c r="C39" i="13"/>
  <c r="I2" i="8"/>
  <c r="E28" i="13"/>
  <c r="G28" i="13" s="1"/>
  <c r="H28" i="13" s="1"/>
  <c r="E32" i="13"/>
  <c r="G32" i="13" s="1"/>
  <c r="H32" i="13" s="1"/>
  <c r="E40" i="13"/>
  <c r="G40" i="13" s="1"/>
  <c r="E39" i="11"/>
  <c r="G39" i="11" s="1"/>
  <c r="H39" i="11" s="1"/>
  <c r="N219" i="2"/>
  <c r="E34" i="11"/>
  <c r="G34" i="11" s="1"/>
  <c r="H34" i="11" s="1"/>
  <c r="E31" i="13"/>
  <c r="G31" i="13" s="1"/>
  <c r="K85" i="6"/>
  <c r="M209" i="2"/>
  <c r="E29" i="13"/>
  <c r="G29" i="13" s="1"/>
  <c r="O209" i="2"/>
  <c r="K79" i="6"/>
  <c r="E27" i="13"/>
  <c r="G27" i="13" s="1"/>
  <c r="K57" i="6"/>
  <c r="K73" i="6"/>
  <c r="AA12" i="8"/>
  <c r="I209" i="2"/>
  <c r="E19" i="13"/>
  <c r="G19" i="13" s="1"/>
  <c r="E28" i="11"/>
  <c r="G28" i="11" s="1"/>
  <c r="E20" i="11"/>
  <c r="G20" i="11" s="1"/>
  <c r="D78" i="6"/>
  <c r="D70" i="6"/>
  <c r="K209" i="2"/>
  <c r="K2" i="8"/>
  <c r="K69" i="6"/>
  <c r="C31" i="13"/>
  <c r="E35" i="13"/>
  <c r="G35" i="13" s="1"/>
  <c r="H35" i="13" s="1"/>
  <c r="E38" i="11"/>
  <c r="E26" i="11"/>
  <c r="G26" i="11" s="1"/>
  <c r="F215" i="2"/>
  <c r="E35" i="11"/>
  <c r="H212" i="2"/>
  <c r="K77" i="6"/>
  <c r="E39" i="13"/>
  <c r="G39" i="13" s="1"/>
  <c r="O214" i="2"/>
  <c r="F211" i="2"/>
  <c r="E210" i="2"/>
  <c r="O212" i="2"/>
  <c r="H211" i="2"/>
  <c r="F212" i="2"/>
  <c r="E21" i="11"/>
  <c r="G21" i="11" s="1"/>
  <c r="H21" i="11" s="1"/>
  <c r="E36" i="13"/>
  <c r="G36" i="13" s="1"/>
  <c r="M215" i="2"/>
  <c r="E24" i="11"/>
  <c r="G24" i="11" s="1"/>
  <c r="H24" i="11" s="1"/>
  <c r="K214" i="2"/>
  <c r="J212" i="2"/>
  <c r="K213" i="2"/>
  <c r="E30" i="11"/>
  <c r="G30" i="11" s="1"/>
  <c r="J211" i="2"/>
  <c r="I215" i="2"/>
  <c r="K65" i="6"/>
  <c r="H214" i="2"/>
  <c r="O213" i="2"/>
  <c r="E30" i="13"/>
  <c r="G30" i="13" s="1"/>
  <c r="J6" i="8"/>
  <c r="J213" i="2"/>
  <c r="J210" i="2"/>
  <c r="O215" i="2"/>
  <c r="E26" i="13"/>
  <c r="G26" i="13" s="1"/>
  <c r="E21" i="13"/>
  <c r="G21" i="13" s="1"/>
  <c r="H21" i="13" s="1"/>
  <c r="M211" i="2"/>
  <c r="E212" i="2"/>
  <c r="E213" i="2"/>
  <c r="E214" i="2"/>
  <c r="K215" i="2"/>
  <c r="J215" i="2"/>
  <c r="K93" i="6"/>
  <c r="E29" i="11"/>
  <c r="G29" i="11" s="1"/>
  <c r="I214" i="2"/>
  <c r="E18" i="11"/>
  <c r="E215" i="2"/>
  <c r="E25" i="13"/>
  <c r="G25" i="13" s="1"/>
  <c r="E22" i="13"/>
  <c r="G22" i="13" s="1"/>
  <c r="H22" i="13" s="1"/>
  <c r="O211" i="2"/>
  <c r="E211" i="2"/>
  <c r="K53" i="6"/>
  <c r="O3" i="8"/>
  <c r="E25" i="11"/>
  <c r="G25" i="11" s="1"/>
  <c r="H25" i="11" s="1"/>
  <c r="E19" i="11"/>
  <c r="K55" i="6"/>
  <c r="K71" i="6"/>
  <c r="K87" i="6"/>
  <c r="V1" i="8"/>
  <c r="O12" i="8"/>
  <c r="C38" i="11"/>
  <c r="C26" i="11"/>
  <c r="F24" i="10"/>
  <c r="A13" i="12" s="1"/>
  <c r="D94" i="6"/>
  <c r="C35" i="13"/>
  <c r="M2" i="8"/>
  <c r="I12" i="8"/>
  <c r="E13" i="8"/>
  <c r="C34" i="11"/>
  <c r="H27" i="11"/>
  <c r="I13" i="8"/>
  <c r="Q208" i="2"/>
  <c r="M13" i="8"/>
  <c r="K67" i="6"/>
  <c r="T12" i="8"/>
  <c r="T1" i="8"/>
  <c r="H12" i="8"/>
  <c r="H2" i="8"/>
  <c r="C25" i="13"/>
  <c r="D66" i="6"/>
  <c r="C24" i="11"/>
  <c r="H13" i="8"/>
  <c r="F12" i="8"/>
  <c r="R1" i="8"/>
  <c r="H3" i="8"/>
  <c r="F3" i="8"/>
  <c r="F13" i="8"/>
  <c r="R12" i="8"/>
  <c r="K59" i="6"/>
  <c r="C21" i="13"/>
  <c r="C20" i="11"/>
  <c r="F2" i="8"/>
  <c r="D58" i="6"/>
  <c r="E12" i="8"/>
  <c r="Q1" i="8"/>
  <c r="D68" i="6" l="1"/>
  <c r="D84" i="6"/>
  <c r="D76" i="6"/>
  <c r="D72" i="6"/>
  <c r="C9" i="9"/>
  <c r="D88" i="6"/>
  <c r="D80" i="6"/>
  <c r="H29" i="13"/>
  <c r="H219" i="2"/>
  <c r="F219" i="2"/>
  <c r="E219" i="2"/>
  <c r="Q212" i="2"/>
  <c r="H27" i="13"/>
  <c r="Q218" i="2"/>
  <c r="H28" i="11"/>
  <c r="H40" i="13"/>
  <c r="H31" i="13"/>
  <c r="Q211" i="2"/>
  <c r="Q210" i="2"/>
  <c r="H19" i="13"/>
  <c r="Q215" i="2"/>
  <c r="Q214" i="2"/>
  <c r="Q213" i="2"/>
  <c r="Q216" i="2"/>
  <c r="H26" i="13"/>
  <c r="Q217" i="2"/>
  <c r="J219" i="2"/>
  <c r="H26" i="11"/>
  <c r="O219" i="2"/>
  <c r="M219" i="2"/>
  <c r="H20" i="11"/>
  <c r="Q209" i="2"/>
  <c r="K219" i="2"/>
  <c r="G38" i="11"/>
  <c r="H38" i="11" s="1"/>
  <c r="I219" i="2"/>
  <c r="H25" i="13"/>
  <c r="H36" i="13"/>
  <c r="O191" i="2"/>
  <c r="H29" i="11"/>
  <c r="H30" i="11"/>
  <c r="G35" i="11"/>
  <c r="H35" i="11" s="1"/>
  <c r="H39" i="13"/>
  <c r="H30" i="13"/>
  <c r="G19" i="11"/>
  <c r="H19" i="11" s="1"/>
  <c r="G18" i="11"/>
  <c r="H18" i="11" s="1"/>
  <c r="G24" i="10"/>
  <c r="F27" i="14" s="1"/>
  <c r="H27" i="14" s="1"/>
  <c r="A14" i="14"/>
  <c r="B65" i="4"/>
  <c r="D96" i="6" l="1"/>
  <c r="P191" i="2"/>
  <c r="D100" i="6" s="1"/>
  <c r="Q219" i="2"/>
  <c r="Q220" i="2" s="1"/>
  <c r="H43" i="13"/>
  <c r="H42" i="11"/>
  <c r="D35" i="14"/>
  <c r="D36" i="14"/>
  <c r="D38" i="14"/>
  <c r="C17" i="14"/>
  <c r="E16" i="12"/>
  <c r="F16" i="12" s="1"/>
  <c r="H16" i="12" s="1"/>
  <c r="F26" i="14"/>
  <c r="H26" i="14" s="1"/>
  <c r="F24" i="12"/>
  <c r="H24" i="12" s="1"/>
  <c r="F21" i="12"/>
  <c r="H21" i="12" s="1"/>
  <c r="D39" i="14"/>
  <c r="D40" i="14"/>
  <c r="D31" i="12"/>
  <c r="D37" i="12"/>
  <c r="F27" i="12"/>
  <c r="H27" i="12" s="1"/>
  <c r="D33" i="12"/>
  <c r="E17" i="14"/>
  <c r="F17" i="14" s="1"/>
  <c r="D38" i="12"/>
  <c r="D34" i="14"/>
  <c r="F25" i="14"/>
  <c r="H25" i="14" s="1"/>
  <c r="F28" i="14"/>
  <c r="H28" i="14" s="1"/>
  <c r="D36" i="12"/>
  <c r="D32" i="14"/>
  <c r="F25" i="12"/>
  <c r="H25" i="12" s="1"/>
  <c r="D37" i="14"/>
  <c r="F24" i="14"/>
  <c r="H24" i="14" s="1"/>
  <c r="D39" i="12"/>
  <c r="F26" i="12"/>
  <c r="H26" i="12" s="1"/>
  <c r="F28" i="12"/>
  <c r="H28" i="12" s="1"/>
  <c r="D32" i="12"/>
  <c r="D35" i="12"/>
  <c r="D34" i="12"/>
  <c r="D33" i="14"/>
  <c r="C16" i="12"/>
  <c r="F29" i="14"/>
  <c r="H29" i="14" s="1"/>
  <c r="F22" i="12"/>
  <c r="H22" i="12" s="1"/>
  <c r="F23" i="12"/>
  <c r="H23" i="12" s="1"/>
  <c r="F23" i="14"/>
  <c r="H23" i="14" s="1"/>
  <c r="F22" i="14"/>
  <c r="H22" i="14" s="1"/>
  <c r="P220" i="2" l="1"/>
  <c r="S280" i="2"/>
  <c r="X303" i="2"/>
  <c r="Q252" i="2"/>
  <c r="V252" i="2" s="1"/>
  <c r="R258" i="2"/>
  <c r="W258" i="2" s="1"/>
  <c r="S273" i="2"/>
  <c r="Q236" i="2"/>
  <c r="V236" i="2" s="1"/>
  <c r="R242" i="2"/>
  <c r="S275" i="2"/>
  <c r="S265" i="2"/>
  <c r="S315" i="2"/>
  <c r="S222" i="2"/>
  <c r="X222" i="2" s="1"/>
  <c r="S268" i="2"/>
  <c r="S277" i="2"/>
  <c r="X277" i="2" s="1"/>
  <c r="S310" i="2"/>
  <c r="S246" i="2"/>
  <c r="X246" i="2" s="1"/>
  <c r="R304" i="2"/>
  <c r="S306" i="2"/>
  <c r="S303" i="2"/>
  <c r="S270" i="2"/>
  <c r="R226" i="2"/>
  <c r="S224" i="2"/>
  <c r="S312" i="2"/>
  <c r="S252" i="2"/>
  <c r="S263" i="2"/>
  <c r="X292" i="2"/>
  <c r="S283" i="2"/>
  <c r="S225" i="2"/>
  <c r="X225" i="2" s="1"/>
  <c r="S256" i="2"/>
  <c r="S228" i="2"/>
  <c r="X228" i="2" s="1"/>
  <c r="S240" i="2"/>
  <c r="X240" i="2" s="1"/>
  <c r="S305" i="2"/>
  <c r="S248" i="2"/>
  <c r="X248" i="2" s="1"/>
  <c r="S284" i="2"/>
  <c r="R318" i="2"/>
  <c r="W318" i="2" s="1"/>
  <c r="S295" i="2"/>
  <c r="S233" i="2"/>
  <c r="X233" i="2" s="1"/>
  <c r="S230" i="2"/>
  <c r="R321" i="2"/>
  <c r="S299" i="2"/>
  <c r="S235" i="2"/>
  <c r="S279" i="2"/>
  <c r="S287" i="2"/>
  <c r="S258" i="2"/>
  <c r="S294" i="2"/>
  <c r="S307" i="2"/>
  <c r="S298" i="2"/>
  <c r="S237" i="2"/>
  <c r="X237" i="2" s="1"/>
  <c r="S251" i="2"/>
  <c r="S226" i="2"/>
  <c r="S272" i="2"/>
  <c r="S293" i="2"/>
  <c r="S245" i="2"/>
  <c r="X245" i="2" s="1"/>
  <c r="S281" i="2"/>
  <c r="S286" i="2"/>
  <c r="S300" i="2"/>
  <c r="S314" i="2"/>
  <c r="S247" i="2"/>
  <c r="S282" i="2"/>
  <c r="S313" i="2"/>
  <c r="S253" i="2"/>
  <c r="R320" i="2"/>
  <c r="W320" i="2" s="1"/>
  <c r="R317" i="2"/>
  <c r="W317" i="2" s="1"/>
  <c r="S239" i="2"/>
  <c r="X239" i="2" s="1"/>
  <c r="S288" i="2"/>
  <c r="S321" i="2"/>
  <c r="S260" i="2"/>
  <c r="S227" i="2"/>
  <c r="S262" i="2"/>
  <c r="X313" i="2"/>
  <c r="S289" i="2"/>
  <c r="R319" i="2"/>
  <c r="R302" i="2"/>
  <c r="W302" i="2" s="1"/>
  <c r="S257" i="2"/>
  <c r="S271" i="2"/>
  <c r="S232" i="2"/>
  <c r="X232" i="2" s="1"/>
  <c r="Q280" i="2"/>
  <c r="V280" i="2" s="1"/>
  <c r="S309" i="2"/>
  <c r="S261" i="2"/>
  <c r="X261" i="2" s="1"/>
  <c r="S242" i="2"/>
  <c r="X242" i="2" s="1"/>
  <c r="S250" i="2"/>
  <c r="Q245" i="2"/>
  <c r="V245" i="2" s="1"/>
  <c r="Q281" i="2"/>
  <c r="V281" i="2" s="1"/>
  <c r="S249" i="2"/>
  <c r="X249" i="2" s="1"/>
  <c r="Q233" i="2"/>
  <c r="V233" i="2" s="1"/>
  <c r="S231" i="2"/>
  <c r="S285" i="2"/>
  <c r="S244" i="2"/>
  <c r="X300" i="2"/>
  <c r="S290" i="2"/>
  <c r="S302" i="2"/>
  <c r="S320" i="2"/>
  <c r="R289" i="2"/>
  <c r="W289" i="2" s="1"/>
  <c r="S319" i="2"/>
  <c r="S278" i="2"/>
  <c r="S264" i="2"/>
  <c r="R236" i="2"/>
  <c r="W236" i="2" s="1"/>
  <c r="Q278" i="2"/>
  <c r="V278" i="2" s="1"/>
  <c r="S266" i="2"/>
  <c r="S241" i="2"/>
  <c r="X241" i="2" s="1"/>
  <c r="R300" i="2"/>
  <c r="W300" i="2" s="1"/>
  <c r="S255" i="2"/>
  <c r="S259" i="2"/>
  <c r="S296" i="2"/>
  <c r="S243" i="2"/>
  <c r="S301" i="2"/>
  <c r="S311" i="2"/>
  <c r="R299" i="2"/>
  <c r="W299" i="2" s="1"/>
  <c r="S236" i="2"/>
  <c r="X236" i="2" s="1"/>
  <c r="S238" i="2"/>
  <c r="X238" i="2" s="1"/>
  <c r="S269" i="2"/>
  <c r="S267" i="2"/>
  <c r="X267" i="2" s="1"/>
  <c r="S291" i="2"/>
  <c r="Q288" i="2"/>
  <c r="V288" i="2" s="1"/>
  <c r="R275" i="2"/>
  <c r="W275" i="2" s="1"/>
  <c r="Q264" i="2"/>
  <c r="V264" i="2" s="1"/>
  <c r="S316" i="2"/>
  <c r="X290" i="2"/>
  <c r="S308" i="2"/>
  <c r="S234" i="2"/>
  <c r="R309" i="2"/>
  <c r="W309" i="2" s="1"/>
  <c r="S229" i="2"/>
  <c r="X229" i="2" s="1"/>
  <c r="S292" i="2"/>
  <c r="S276" i="2"/>
  <c r="X276" i="2" s="1"/>
  <c r="X278" i="2"/>
  <c r="S297" i="2"/>
  <c r="S304" i="2"/>
  <c r="S274" i="2"/>
  <c r="R255" i="2"/>
  <c r="W255" i="2" s="1"/>
  <c r="X263" i="2"/>
  <c r="X274" i="2"/>
  <c r="R240" i="2"/>
  <c r="W240" i="2" s="1"/>
  <c r="Q267" i="2"/>
  <c r="V267" i="2" s="1"/>
  <c r="Q255" i="2"/>
  <c r="V255" i="2" s="1"/>
  <c r="W319" i="2"/>
  <c r="X257" i="2"/>
  <c r="X284" i="2"/>
  <c r="X279" i="2"/>
  <c r="X230" i="2"/>
  <c r="X273" i="2"/>
  <c r="X309" i="2"/>
  <c r="R262" i="2"/>
  <c r="W262" i="2" s="1"/>
  <c r="X297" i="2"/>
  <c r="X294" i="2"/>
  <c r="Q272" i="2"/>
  <c r="V272" i="2" s="1"/>
  <c r="Q261" i="2"/>
  <c r="V261" i="2" s="1"/>
  <c r="Q266" i="2"/>
  <c r="V266" i="2" s="1"/>
  <c r="R252" i="2"/>
  <c r="W252" i="2" s="1"/>
  <c r="X226" i="2"/>
  <c r="S223" i="2"/>
  <c r="X223" i="2" s="1"/>
  <c r="R256" i="2"/>
  <c r="W256" i="2" s="1"/>
  <c r="R254" i="2"/>
  <c r="W254" i="2" s="1"/>
  <c r="Q309" i="2"/>
  <c r="V309" i="2" s="1"/>
  <c r="S254" i="2"/>
  <c r="R245" i="2"/>
  <c r="W245" i="2" s="1"/>
  <c r="W242" i="2"/>
  <c r="Q297" i="2"/>
  <c r="V297" i="2" s="1"/>
  <c r="X293" i="2"/>
  <c r="S317" i="2"/>
  <c r="Q301" i="2"/>
  <c r="V301" i="2" s="1"/>
  <c r="R310" i="2"/>
  <c r="W310" i="2" s="1"/>
  <c r="Q285" i="2"/>
  <c r="V285" i="2" s="1"/>
  <c r="R283" i="2"/>
  <c r="W283" i="2" s="1"/>
  <c r="R246" i="2"/>
  <c r="W246" i="2" s="1"/>
  <c r="R235" i="2"/>
  <c r="W235" i="2" s="1"/>
  <c r="X310" i="2"/>
  <c r="X306" i="2"/>
  <c r="X318" i="2"/>
  <c r="R241" i="2"/>
  <c r="W241" i="2" s="1"/>
  <c r="Q298" i="2"/>
  <c r="V298" i="2" s="1"/>
  <c r="R229" i="2"/>
  <c r="W229" i="2" s="1"/>
  <c r="Q262" i="2"/>
  <c r="V262" i="2" s="1"/>
  <c r="X289" i="2"/>
  <c r="Q320" i="2"/>
  <c r="V320" i="2" s="1"/>
  <c r="R251" i="2"/>
  <c r="W251" i="2" s="1"/>
  <c r="R280" i="2"/>
  <c r="W280" i="2" s="1"/>
  <c r="Q242" i="2"/>
  <c r="V242" i="2" s="1"/>
  <c r="R271" i="2"/>
  <c r="W271" i="2" s="1"/>
  <c r="R233" i="2"/>
  <c r="W233" i="2" s="1"/>
  <c r="R259" i="2"/>
  <c r="W259" i="2" s="1"/>
  <c r="Q319" i="2"/>
  <c r="V319" i="2" s="1"/>
  <c r="Q237" i="2"/>
  <c r="V237" i="2" s="1"/>
  <c r="Q314" i="2"/>
  <c r="V314" i="2" s="1"/>
  <c r="Q251" i="2"/>
  <c r="V251" i="2" s="1"/>
  <c r="X262" i="2"/>
  <c r="Q250" i="2"/>
  <c r="V250" i="2" s="1"/>
  <c r="Q224" i="2"/>
  <c r="V224" i="2" s="1"/>
  <c r="Q246" i="2"/>
  <c r="V246" i="2" s="1"/>
  <c r="R315" i="2"/>
  <c r="W315" i="2" s="1"/>
  <c r="W304" i="2"/>
  <c r="Q279" i="2"/>
  <c r="V279" i="2" s="1"/>
  <c r="X270" i="2"/>
  <c r="Q258" i="2"/>
  <c r="V258" i="2" s="1"/>
  <c r="R316" i="2"/>
  <c r="W316" i="2" s="1"/>
  <c r="Q306" i="2"/>
  <c r="V306" i="2" s="1"/>
  <c r="R249" i="2"/>
  <c r="W249" i="2" s="1"/>
  <c r="R293" i="2"/>
  <c r="W293" i="2" s="1"/>
  <c r="R301" i="2"/>
  <c r="W301" i="2" s="1"/>
  <c r="R232" i="2"/>
  <c r="W232" i="2" s="1"/>
  <c r="Q282" i="2"/>
  <c r="V282" i="2" s="1"/>
  <c r="R297" i="2"/>
  <c r="W297" i="2" s="1"/>
  <c r="Q277" i="2"/>
  <c r="V277" i="2" s="1"/>
  <c r="Q310" i="2"/>
  <c r="V310" i="2" s="1"/>
  <c r="X305" i="2"/>
  <c r="Q293" i="2"/>
  <c r="V293" i="2" s="1"/>
  <c r="R270" i="2"/>
  <c r="W270" i="2" s="1"/>
  <c r="R288" i="2"/>
  <c r="W288" i="2" s="1"/>
  <c r="X265" i="2"/>
  <c r="R238" i="2"/>
  <c r="W238" i="2" s="1"/>
  <c r="Q315" i="2"/>
  <c r="V315" i="2" s="1"/>
  <c r="Q234" i="2"/>
  <c r="V234" i="2" s="1"/>
  <c r="R284" i="2"/>
  <c r="W284" i="2" s="1"/>
  <c r="Q253" i="2"/>
  <c r="V253" i="2" s="1"/>
  <c r="Q230" i="2"/>
  <c r="V230" i="2" s="1"/>
  <c r="R267" i="2"/>
  <c r="W267" i="2" s="1"/>
  <c r="X244" i="2"/>
  <c r="R296" i="2"/>
  <c r="W296" i="2" s="1"/>
  <c r="X275" i="2"/>
  <c r="X291" i="2"/>
  <c r="X287" i="2"/>
  <c r="Q304" i="2"/>
  <c r="V304" i="2" s="1"/>
  <c r="X299" i="2"/>
  <c r="Q275" i="2"/>
  <c r="V275" i="2" s="1"/>
  <c r="R278" i="2"/>
  <c r="W278" i="2" s="1"/>
  <c r="Q317" i="2"/>
  <c r="V317" i="2" s="1"/>
  <c r="R261" i="2"/>
  <c r="W261" i="2" s="1"/>
  <c r="R305" i="2"/>
  <c r="W305" i="2" s="1"/>
  <c r="Q294" i="2"/>
  <c r="V294" i="2" s="1"/>
  <c r="Q263" i="2"/>
  <c r="V263" i="2" s="1"/>
  <c r="Q229" i="2"/>
  <c r="V229" i="2" s="1"/>
  <c r="Q313" i="2"/>
  <c r="V313" i="2" s="1"/>
  <c r="R257" i="2"/>
  <c r="W257" i="2" s="1"/>
  <c r="Q259" i="2"/>
  <c r="V259" i="2" s="1"/>
  <c r="R224" i="2"/>
  <c r="W224" i="2" s="1"/>
  <c r="X308" i="2"/>
  <c r="X252" i="2"/>
  <c r="Q296" i="2"/>
  <c r="V296" i="2" s="1"/>
  <c r="Q223" i="2"/>
  <c r="V223" i="2" s="1"/>
  <c r="Q271" i="2"/>
  <c r="V271" i="2" s="1"/>
  <c r="R272" i="2"/>
  <c r="W272" i="2" s="1"/>
  <c r="R237" i="2"/>
  <c r="W237" i="2" s="1"/>
  <c r="R313" i="2"/>
  <c r="W313" i="2" s="1"/>
  <c r="R287" i="2"/>
  <c r="W287" i="2" s="1"/>
  <c r="R312" i="2"/>
  <c r="W312" i="2" s="1"/>
  <c r="X307" i="2"/>
  <c r="X271" i="2"/>
  <c r="X258" i="2"/>
  <c r="R253" i="2"/>
  <c r="W253" i="2" s="1"/>
  <c r="Q249" i="2"/>
  <c r="V249" i="2" s="1"/>
  <c r="Q295" i="2"/>
  <c r="V295" i="2" s="1"/>
  <c r="X286" i="2"/>
  <c r="R223" i="2"/>
  <c r="W223" i="2" s="1"/>
  <c r="R269" i="2"/>
  <c r="W269" i="2" s="1"/>
  <c r="X283" i="2"/>
  <c r="R225" i="2"/>
  <c r="W225" i="2" s="1"/>
  <c r="R268" i="2"/>
  <c r="W268" i="2" s="1"/>
  <c r="X254" i="2"/>
  <c r="X227" i="2"/>
  <c r="X316" i="2"/>
  <c r="R290" i="2"/>
  <c r="W290" i="2" s="1"/>
  <c r="R248" i="2"/>
  <c r="W248" i="2" s="1"/>
  <c r="Q227" i="2"/>
  <c r="V227" i="2" s="1"/>
  <c r="Q287" i="2"/>
  <c r="V287" i="2" s="1"/>
  <c r="R303" i="2"/>
  <c r="W303" i="2" s="1"/>
  <c r="Q283" i="2"/>
  <c r="V283" i="2" s="1"/>
  <c r="Q321" i="2"/>
  <c r="V321" i="2" s="1"/>
  <c r="Q312" i="2"/>
  <c r="V312" i="2" s="1"/>
  <c r="R307" i="2"/>
  <c r="W307" i="2" s="1"/>
  <c r="W321" i="2"/>
  <c r="R222" i="2"/>
  <c r="W222" i="2" s="1"/>
  <c r="X315" i="2"/>
  <c r="X311" i="2"/>
  <c r="Q299" i="2"/>
  <c r="V299" i="2" s="1"/>
  <c r="R294" i="2"/>
  <c r="W294" i="2" s="1"/>
  <c r="R277" i="2"/>
  <c r="W277" i="2" s="1"/>
  <c r="R265" i="2"/>
  <c r="W265" i="2" s="1"/>
  <c r="Q311" i="2"/>
  <c r="V311" i="2" s="1"/>
  <c r="X268" i="2"/>
  <c r="R285" i="2"/>
  <c r="W285" i="2" s="1"/>
  <c r="X281" i="2"/>
  <c r="X302" i="2"/>
  <c r="Q269" i="2"/>
  <c r="V269" i="2" s="1"/>
  <c r="R264" i="2"/>
  <c r="W264" i="2" s="1"/>
  <c r="Q265" i="2"/>
  <c r="V265" i="2" s="1"/>
  <c r="X259" i="2"/>
  <c r="Q291" i="2"/>
  <c r="V291" i="2" s="1"/>
  <c r="Q248" i="2"/>
  <c r="V248" i="2" s="1"/>
  <c r="X255" i="2"/>
  <c r="Q247" i="2"/>
  <c r="V247" i="2" s="1"/>
  <c r="R291" i="2"/>
  <c r="W291" i="2" s="1"/>
  <c r="X295" i="2"/>
  <c r="Q274" i="2"/>
  <c r="V274" i="2" s="1"/>
  <c r="X320" i="2"/>
  <c r="Q243" i="2"/>
  <c r="V243" i="2" s="1"/>
  <c r="Q270" i="2"/>
  <c r="V270" i="2" s="1"/>
  <c r="Q303" i="2"/>
  <c r="V303" i="2" s="1"/>
  <c r="X266" i="2"/>
  <c r="R260" i="2"/>
  <c r="W260" i="2" s="1"/>
  <c r="Q254" i="2"/>
  <c r="V254" i="2" s="1"/>
  <c r="X250" i="2"/>
  <c r="Q238" i="2"/>
  <c r="V238" i="2" s="1"/>
  <c r="R286" i="2"/>
  <c r="W286" i="2" s="1"/>
  <c r="X234" i="2"/>
  <c r="R228" i="2"/>
  <c r="W228" i="2" s="1"/>
  <c r="Q289" i="2"/>
  <c r="V289" i="2" s="1"/>
  <c r="Q222" i="2"/>
  <c r="V222" i="2" s="1"/>
  <c r="Q256" i="2"/>
  <c r="V256" i="2" s="1"/>
  <c r="X285" i="2"/>
  <c r="X260" i="2"/>
  <c r="X251" i="2"/>
  <c r="Q226" i="2"/>
  <c r="V226" i="2" s="1"/>
  <c r="X269" i="2"/>
  <c r="X247" i="2"/>
  <c r="X314" i="2"/>
  <c r="R263" i="2"/>
  <c r="W263" i="2" s="1"/>
  <c r="Q240" i="2"/>
  <c r="V240" i="2" s="1"/>
  <c r="X243" i="2"/>
  <c r="R243" i="2"/>
  <c r="W243" i="2" s="1"/>
  <c r="Q239" i="2"/>
  <c r="V239" i="2" s="1"/>
  <c r="Q257" i="2"/>
  <c r="V257" i="2" s="1"/>
  <c r="Q232" i="2"/>
  <c r="V232" i="2" s="1"/>
  <c r="X235" i="2"/>
  <c r="R239" i="2"/>
  <c r="W239" i="2" s="1"/>
  <c r="Q235" i="2"/>
  <c r="V235" i="2" s="1"/>
  <c r="R308" i="2"/>
  <c r="W308" i="2" s="1"/>
  <c r="X253" i="2"/>
  <c r="R227" i="2"/>
  <c r="W227" i="2" s="1"/>
  <c r="X231" i="2"/>
  <c r="Q231" i="2"/>
  <c r="V231" i="2" s="1"/>
  <c r="W226" i="2"/>
  <c r="R230" i="2"/>
  <c r="W230" i="2" s="1"/>
  <c r="R292" i="2"/>
  <c r="W292" i="2" s="1"/>
  <c r="R314" i="2"/>
  <c r="W314" i="2" s="1"/>
  <c r="Q308" i="2"/>
  <c r="V308" i="2" s="1"/>
  <c r="X304" i="2"/>
  <c r="R298" i="2"/>
  <c r="W298" i="2" s="1"/>
  <c r="Q292" i="2"/>
  <c r="V292" i="2" s="1"/>
  <c r="X288" i="2"/>
  <c r="R282" i="2"/>
  <c r="W282" i="2" s="1"/>
  <c r="Q318" i="2"/>
  <c r="V318" i="2" s="1"/>
  <c r="R266" i="2"/>
  <c r="W266" i="2" s="1"/>
  <c r="R311" i="2"/>
  <c r="W311" i="2" s="1"/>
  <c r="R234" i="2"/>
  <c r="W234" i="2" s="1"/>
  <c r="R279" i="2"/>
  <c r="W279" i="2" s="1"/>
  <c r="Q228" i="2"/>
  <c r="V228" i="2" s="1"/>
  <c r="Q302" i="2"/>
  <c r="V302" i="2" s="1"/>
  <c r="Q273" i="2"/>
  <c r="V273" i="2" s="1"/>
  <c r="X224" i="2"/>
  <c r="Q316" i="2"/>
  <c r="V316" i="2" s="1"/>
  <c r="X319" i="2"/>
  <c r="R247" i="2"/>
  <c r="W247" i="2" s="1"/>
  <c r="X312" i="2"/>
  <c r="R244" i="2"/>
  <c r="W244" i="2" s="1"/>
  <c r="Q241" i="2"/>
  <c r="V241" i="2" s="1"/>
  <c r="R306" i="2"/>
  <c r="W306" i="2" s="1"/>
  <c r="Q276" i="2"/>
  <c r="V276" i="2" s="1"/>
  <c r="Q300" i="2"/>
  <c r="V300" i="2" s="1"/>
  <c r="F222" i="2"/>
  <c r="F223" i="2" s="1"/>
  <c r="F224" i="2" s="1"/>
  <c r="F225" i="2" s="1"/>
  <c r="F226" i="2" s="1"/>
  <c r="F227" i="2" s="1"/>
  <c r="F228" i="2" s="1"/>
  <c r="F229" i="2" s="1"/>
  <c r="F230" i="2" s="1"/>
  <c r="F231" i="2" s="1"/>
  <c r="F232" i="2" s="1"/>
  <c r="F233" i="2" s="1"/>
  <c r="F234" i="2" s="1"/>
  <c r="F235" i="2" s="1"/>
  <c r="F236" i="2" s="1"/>
  <c r="F237" i="2" s="1"/>
  <c r="F238" i="2" s="1"/>
  <c r="F239" i="2" s="1"/>
  <c r="F240" i="2" s="1"/>
  <c r="F241" i="2" s="1"/>
  <c r="F242" i="2" s="1"/>
  <c r="F243" i="2" s="1"/>
  <c r="F244" i="2" s="1"/>
  <c r="F245" i="2" s="1"/>
  <c r="F246" i="2" s="1"/>
  <c r="F247" i="2" s="1"/>
  <c r="F248" i="2" s="1"/>
  <c r="F249" i="2" s="1"/>
  <c r="F250" i="2" s="1"/>
  <c r="F251" i="2" s="1"/>
  <c r="F252" i="2" s="1"/>
  <c r="F253" i="2" s="1"/>
  <c r="F254" i="2" s="1"/>
  <c r="F255" i="2" s="1"/>
  <c r="F256" i="2" s="1"/>
  <c r="F257" i="2" s="1"/>
  <c r="F258" i="2" s="1"/>
  <c r="F259" i="2" s="1"/>
  <c r="F260" i="2" s="1"/>
  <c r="F261" i="2" s="1"/>
  <c r="F262" i="2" s="1"/>
  <c r="F263" i="2" s="1"/>
  <c r="F264" i="2" s="1"/>
  <c r="F265" i="2" s="1"/>
  <c r="F266" i="2" s="1"/>
  <c r="F267" i="2" s="1"/>
  <c r="F268" i="2" s="1"/>
  <c r="F269" i="2" s="1"/>
  <c r="F270" i="2" s="1"/>
  <c r="F271" i="2" s="1"/>
  <c r="F272" i="2" s="1"/>
  <c r="F273" i="2" s="1"/>
  <c r="F274" i="2" s="1"/>
  <c r="F275" i="2" s="1"/>
  <c r="F276" i="2" s="1"/>
  <c r="F277" i="2" s="1"/>
  <c r="F278" i="2" s="1"/>
  <c r="F279" i="2" s="1"/>
  <c r="F280" i="2" s="1"/>
  <c r="F281" i="2" s="1"/>
  <c r="F282" i="2" s="1"/>
  <c r="F283" i="2" s="1"/>
  <c r="F284" i="2" s="1"/>
  <c r="F285" i="2" s="1"/>
  <c r="F286" i="2" s="1"/>
  <c r="F287" i="2" s="1"/>
  <c r="F288" i="2" s="1"/>
  <c r="F289" i="2" s="1"/>
  <c r="F290" i="2" s="1"/>
  <c r="F291" i="2" s="1"/>
  <c r="F292" i="2" s="1"/>
  <c r="F293" i="2" s="1"/>
  <c r="F294" i="2" s="1"/>
  <c r="F295" i="2" s="1"/>
  <c r="F296" i="2" s="1"/>
  <c r="F297" i="2" s="1"/>
  <c r="F298" i="2" s="1"/>
  <c r="F299" i="2" s="1"/>
  <c r="F300" i="2" s="1"/>
  <c r="F301" i="2" s="1"/>
  <c r="F302" i="2" s="1"/>
  <c r="F303" i="2" s="1"/>
  <c r="F304" i="2" s="1"/>
  <c r="F305" i="2" s="1"/>
  <c r="F306" i="2" s="1"/>
  <c r="F307" i="2" s="1"/>
  <c r="F308" i="2" s="1"/>
  <c r="F309" i="2" s="1"/>
  <c r="F310" i="2" s="1"/>
  <c r="F311" i="2" s="1"/>
  <c r="F312" i="2" s="1"/>
  <c r="F313" i="2" s="1"/>
  <c r="F314" i="2" s="1"/>
  <c r="F315" i="2" s="1"/>
  <c r="F316" i="2" s="1"/>
  <c r="F317" i="2" s="1"/>
  <c r="F318" i="2" s="1"/>
  <c r="F319" i="2" s="1"/>
  <c r="F320" i="2" s="1"/>
  <c r="F321" i="2" s="1"/>
  <c r="F322" i="2" s="1"/>
  <c r="F323" i="2" s="1"/>
  <c r="F324" i="2" s="1"/>
  <c r="F325" i="2" s="1"/>
  <c r="F326" i="2" s="1"/>
  <c r="F327" i="2" s="1"/>
  <c r="F328" i="2" s="1"/>
  <c r="F329" i="2" s="1"/>
  <c r="F330" i="2" s="1"/>
  <c r="F331" i="2" s="1"/>
  <c r="F332" i="2" s="1"/>
  <c r="F333" i="2" s="1"/>
  <c r="F334" i="2" s="1"/>
  <c r="F335" i="2" s="1"/>
  <c r="F336" i="2" s="1"/>
  <c r="F337" i="2" s="1"/>
  <c r="F338" i="2" s="1"/>
  <c r="F339" i="2" s="1"/>
  <c r="F340" i="2" s="1"/>
  <c r="F341" i="2" s="1"/>
  <c r="F342" i="2" s="1"/>
  <c r="F343" i="2" s="1"/>
  <c r="F344" i="2" s="1"/>
  <c r="X272" i="2"/>
  <c r="X296" i="2"/>
  <c r="Q307" i="2"/>
  <c r="V307" i="2" s="1"/>
  <c r="X298" i="2"/>
  <c r="Q260" i="2"/>
  <c r="V260" i="2" s="1"/>
  <c r="Q284" i="2"/>
  <c r="V284" i="2" s="1"/>
  <c r="R231" i="2"/>
  <c r="W231" i="2" s="1"/>
  <c r="X256" i="2"/>
  <c r="X280" i="2"/>
  <c r="Q290" i="2"/>
  <c r="V290" i="2" s="1"/>
  <c r="Q286" i="2"/>
  <c r="V286" i="2" s="1"/>
  <c r="Q305" i="2"/>
  <c r="V305" i="2" s="1"/>
  <c r="Q225" i="2"/>
  <c r="V225" i="2" s="1"/>
  <c r="R250" i="2"/>
  <c r="W250" i="2" s="1"/>
  <c r="R274" i="2"/>
  <c r="W274" i="2" s="1"/>
  <c r="X282" i="2"/>
  <c r="X301" i="2"/>
  <c r="X321" i="2"/>
  <c r="Q244" i="2"/>
  <c r="V244" i="2" s="1"/>
  <c r="Q268" i="2"/>
  <c r="V268" i="2" s="1"/>
  <c r="R273" i="2"/>
  <c r="W273" i="2" s="1"/>
  <c r="R281" i="2"/>
  <c r="W281" i="2" s="1"/>
  <c r="R276" i="2"/>
  <c r="W276" i="2" s="1"/>
  <c r="R295" i="2"/>
  <c r="W295" i="2" s="1"/>
  <c r="X317" i="2"/>
  <c r="H42" i="12"/>
  <c r="H17" i="14"/>
  <c r="H43" i="14" s="1"/>
  <c r="X264" i="2" l="1"/>
  <c r="S318" i="2"/>
  <c r="AA222" i="2"/>
  <c r="AA223" i="2" s="1"/>
  <c r="AA224" i="2" s="1"/>
  <c r="F221" i="2" s="1"/>
  <c r="B63" i="4" s="1"/>
  <c r="B102" i="6" l="1"/>
  <c r="B50" i="4"/>
</calcChain>
</file>

<file path=xl/sharedStrings.xml><?xml version="1.0" encoding="utf-8"?>
<sst xmlns="http://schemas.openxmlformats.org/spreadsheetml/2006/main" count="288" uniqueCount="196">
  <si>
    <t>Select the display language on this form このフォームの表示言語を選んでください</t>
    <rPh sb="48" eb="52">
      <t>ヒョウジゲンゴ</t>
    </rPh>
    <rPh sb="53" eb="54">
      <t>エラ</t>
    </rPh>
    <phoneticPr fontId="2"/>
  </si>
  <si>
    <t>Japanese</t>
    <phoneticPr fontId="2"/>
  </si>
  <si>
    <t>English</t>
    <phoneticPr fontId="2"/>
  </si>
  <si>
    <t>Yes, same</t>
    <phoneticPr fontId="2"/>
  </si>
  <si>
    <t>No, not same</t>
    <phoneticPr fontId="2"/>
  </si>
  <si>
    <t>D</t>
    <phoneticPr fontId="2"/>
  </si>
  <si>
    <t>H</t>
    <phoneticPr fontId="2"/>
  </si>
  <si>
    <t>S</t>
    <phoneticPr fontId="2"/>
  </si>
  <si>
    <t>無料</t>
  </si>
  <si>
    <t>Home</t>
    <phoneticPr fontId="2"/>
  </si>
  <si>
    <t>Archive</t>
    <phoneticPr fontId="2"/>
  </si>
  <si>
    <t>mem</t>
    <phoneticPr fontId="2"/>
  </si>
  <si>
    <t>sha</t>
    <phoneticPr fontId="2"/>
  </si>
  <si>
    <t>fat</t>
    <phoneticPr fontId="2"/>
  </si>
  <si>
    <t>v100</t>
    <phoneticPr fontId="2"/>
  </si>
  <si>
    <t>Fat</t>
    <phoneticPr fontId="2"/>
  </si>
  <si>
    <t>V100</t>
    <phoneticPr fontId="2"/>
  </si>
  <si>
    <t>excl</t>
    <phoneticPr fontId="2"/>
  </si>
  <si>
    <t>Input Sheet 1</t>
    <phoneticPr fontId="2"/>
  </si>
  <si>
    <t>Input Sheet 2</t>
    <phoneticPr fontId="2"/>
  </si>
  <si>
    <t>Input Sheet 3</t>
    <phoneticPr fontId="2"/>
  </si>
  <si>
    <t>Input Sheet 4</t>
    <phoneticPr fontId="2"/>
  </si>
  <si>
    <t>Application Sheet</t>
    <phoneticPr fontId="2"/>
  </si>
  <si>
    <t>Notes</t>
    <phoneticPr fontId="2"/>
  </si>
  <si>
    <t>熟読しました</t>
    <phoneticPr fontId="2"/>
  </si>
  <si>
    <t>熟読していません</t>
    <phoneticPr fontId="2"/>
  </si>
  <si>
    <t>I have not read it</t>
    <phoneticPr fontId="2"/>
  </si>
  <si>
    <t>I read carefully</t>
    <phoneticPr fontId="2"/>
  </si>
  <si>
    <t>同意します</t>
    <phoneticPr fontId="2"/>
  </si>
  <si>
    <t>同意しません</t>
    <phoneticPr fontId="2"/>
  </si>
  <si>
    <t>I accept</t>
    <phoneticPr fontId="2"/>
  </si>
  <si>
    <t>Disagree</t>
    <phoneticPr fontId="2"/>
  </si>
  <si>
    <t>利用</t>
    <phoneticPr fontId="2"/>
  </si>
  <si>
    <t>停止</t>
    <phoneticPr fontId="2"/>
  </si>
  <si>
    <t>Use</t>
    <phoneticPr fontId="2"/>
  </si>
  <si>
    <t>Suspend</t>
    <phoneticPr fontId="2"/>
  </si>
  <si>
    <t>学術</t>
    <phoneticPr fontId="2"/>
  </si>
  <si>
    <t>民間</t>
    <phoneticPr fontId="2"/>
  </si>
  <si>
    <t>特別</t>
    <phoneticPr fontId="2"/>
  </si>
  <si>
    <t>Special</t>
    <phoneticPr fontId="2"/>
  </si>
  <si>
    <t>Private</t>
    <phoneticPr fontId="2"/>
  </si>
  <si>
    <t>Academic</t>
    <phoneticPr fontId="2"/>
  </si>
  <si>
    <t>はい</t>
    <phoneticPr fontId="2"/>
  </si>
  <si>
    <t>いいえ</t>
    <phoneticPr fontId="2"/>
  </si>
  <si>
    <t>利用者</t>
    <phoneticPr fontId="2"/>
  </si>
  <si>
    <t>User</t>
    <phoneticPr fontId="2"/>
  </si>
  <si>
    <t>研究責任者</t>
    <phoneticPr fontId="2"/>
  </si>
  <si>
    <t>経理責任者</t>
    <phoneticPr fontId="2"/>
  </si>
  <si>
    <t>その他 (下に記入)</t>
    <phoneticPr fontId="2"/>
  </si>
  <si>
    <t>Other (write below)</t>
    <phoneticPr fontId="2"/>
  </si>
  <si>
    <t>一括払い</t>
    <phoneticPr fontId="2"/>
  </si>
  <si>
    <t>月々後払い</t>
    <phoneticPr fontId="2"/>
  </si>
  <si>
    <t>Single payment</t>
    <phoneticPr fontId="2"/>
  </si>
  <si>
    <t>Monthly payment</t>
    <phoneticPr fontId="2"/>
  </si>
  <si>
    <t>東京大学医科学研究所ヒトゲノム解析センター</t>
    <phoneticPr fontId="2"/>
  </si>
  <si>
    <t>計算機システム</t>
    <phoneticPr fontId="2"/>
  </si>
  <si>
    <t xml:space="preserve">Supercomputer System of </t>
    <phoneticPr fontId="2"/>
  </si>
  <si>
    <t>試用</t>
    <rPh sb="0" eb="2">
      <t>シヨウ</t>
    </rPh>
    <phoneticPr fontId="2"/>
  </si>
  <si>
    <t>Trial</t>
    <phoneticPr fontId="2"/>
  </si>
  <si>
    <t>Free</t>
    <phoneticPr fontId="2"/>
  </si>
  <si>
    <t>1 月</t>
    <phoneticPr fontId="2"/>
  </si>
  <si>
    <t>2 月</t>
    <phoneticPr fontId="2"/>
  </si>
  <si>
    <t>3 月</t>
    <phoneticPr fontId="2"/>
  </si>
  <si>
    <t>4 月</t>
    <phoneticPr fontId="2"/>
  </si>
  <si>
    <t>5 月</t>
    <phoneticPr fontId="2"/>
  </si>
  <si>
    <t>6 月</t>
    <phoneticPr fontId="2"/>
  </si>
  <si>
    <t>7 月</t>
    <phoneticPr fontId="2"/>
  </si>
  <si>
    <t>8 月</t>
    <phoneticPr fontId="2"/>
  </si>
  <si>
    <t>9 月</t>
    <phoneticPr fontId="2"/>
  </si>
  <si>
    <t>10 月</t>
    <phoneticPr fontId="2"/>
  </si>
  <si>
    <t>11 月</t>
    <phoneticPr fontId="2"/>
  </si>
  <si>
    <t>12 月</t>
    <phoneticPr fontId="2"/>
  </si>
  <si>
    <t>Jan.</t>
    <phoneticPr fontId="2"/>
  </si>
  <si>
    <t>Mar.</t>
    <phoneticPr fontId="2"/>
  </si>
  <si>
    <t>April</t>
    <phoneticPr fontId="2"/>
  </si>
  <si>
    <t>May</t>
    <phoneticPr fontId="2"/>
  </si>
  <si>
    <t>June</t>
    <phoneticPr fontId="2"/>
  </si>
  <si>
    <t>July</t>
    <phoneticPr fontId="2"/>
  </si>
  <si>
    <t>Aug.</t>
    <phoneticPr fontId="2"/>
  </si>
  <si>
    <t>Sep.</t>
    <phoneticPr fontId="2"/>
  </si>
  <si>
    <t>Oct.</t>
    <phoneticPr fontId="2"/>
  </si>
  <si>
    <t>Nov.</t>
    <phoneticPr fontId="2"/>
  </si>
  <si>
    <t>Dec.</t>
    <phoneticPr fontId="2"/>
  </si>
  <si>
    <t>Feb.</t>
    <phoneticPr fontId="2"/>
  </si>
  <si>
    <t>start</t>
    <phoneticPr fontId="2"/>
  </si>
  <si>
    <t>end</t>
    <phoneticPr fontId="2"/>
  </si>
  <si>
    <t>Subtotal</t>
    <phoneticPr fontId="2"/>
  </si>
  <si>
    <t>term</t>
    <phoneticPr fontId="2"/>
  </si>
  <si>
    <t>←サポートポイントの値段</t>
    <rPh sb="10" eb="12">
      <t>ネダン</t>
    </rPh>
    <phoneticPr fontId="2"/>
  </si>
  <si>
    <t>The super-computing resource was provided by Human Genome Center, The Institute of Medical Science, The University of Tokyo (http://sc.hgc.jp/shirokane.html).</t>
    <phoneticPr fontId="2"/>
  </si>
  <si>
    <t>a.</t>
    <phoneticPr fontId="2"/>
  </si>
  <si>
    <t>b.</t>
    <phoneticPr fontId="2"/>
  </si>
  <si>
    <t>Human Genome Center, The Institute of Medical Science, The University of Tokyo</t>
    <phoneticPr fontId="2"/>
  </si>
  <si>
    <t>*</t>
    <phoneticPr fontId="2"/>
  </si>
  <si>
    <t>東大の場合には、支払い財源 (例: 運営費交付金 / 基盤研究(B) /AMED) および部署コード・プロジェクトコードを備考に記入してください。</t>
    <rPh sb="61" eb="63">
      <t>ビコウ</t>
    </rPh>
    <phoneticPr fontId="2"/>
  </si>
  <si>
    <t>0123456789abcdefghijklmnopqrstuvwxyzABCDEFGHIJKLMNOPQRSTUVWXYZ</t>
    <phoneticPr fontId="2"/>
  </si>
  <si>
    <t>か月</t>
    <rPh sb="1" eb="2">
      <t>ゲツ</t>
    </rPh>
    <phoneticPr fontId="2"/>
  </si>
  <si>
    <t>a</t>
    <phoneticPr fontId="2"/>
  </si>
  <si>
    <t>a</t>
    <phoneticPr fontId="2"/>
  </si>
  <si>
    <t>b</t>
    <phoneticPr fontId="2"/>
  </si>
  <si>
    <t>b</t>
    <phoneticPr fontId="2"/>
  </si>
  <si>
    <t>c</t>
    <phoneticPr fontId="2"/>
  </si>
  <si>
    <t>c</t>
    <phoneticPr fontId="2"/>
  </si>
  <si>
    <t>c</t>
    <phoneticPr fontId="2"/>
  </si>
  <si>
    <t>d</t>
    <phoneticPr fontId="2"/>
  </si>
  <si>
    <t>d</t>
    <phoneticPr fontId="2"/>
  </si>
  <si>
    <t>d</t>
    <phoneticPr fontId="2"/>
  </si>
  <si>
    <t>e</t>
    <phoneticPr fontId="2"/>
  </si>
  <si>
    <t>e</t>
    <phoneticPr fontId="2"/>
  </si>
  <si>
    <t>e</t>
    <phoneticPr fontId="2"/>
  </si>
  <si>
    <t>f</t>
    <phoneticPr fontId="2"/>
  </si>
  <si>
    <t>g</t>
    <phoneticPr fontId="2"/>
  </si>
  <si>
    <t>g</t>
    <phoneticPr fontId="2"/>
  </si>
  <si>
    <t>h</t>
    <phoneticPr fontId="2"/>
  </si>
  <si>
    <t>h</t>
    <phoneticPr fontId="2"/>
  </si>
  <si>
    <t>i</t>
    <phoneticPr fontId="2"/>
  </si>
  <si>
    <t>i</t>
    <phoneticPr fontId="2"/>
  </si>
  <si>
    <t>i</t>
    <phoneticPr fontId="2"/>
  </si>
  <si>
    <t>j</t>
    <phoneticPr fontId="2"/>
  </si>
  <si>
    <t>j</t>
    <phoneticPr fontId="2"/>
  </si>
  <si>
    <t>j</t>
    <phoneticPr fontId="2"/>
  </si>
  <si>
    <t>FV</t>
    <phoneticPr fontId="2"/>
  </si>
  <si>
    <t>.php</t>
    <phoneticPr fontId="2"/>
  </si>
  <si>
    <t>https://supcom.hgc.jp/c/a</t>
    <phoneticPr fontId="2"/>
  </si>
  <si>
    <t>見積書</t>
    <rPh sb="0" eb="3">
      <t>ミツモリショ</t>
    </rPh>
    <phoneticPr fontId="2"/>
  </si>
  <si>
    <t>見積金額</t>
    <rPh sb="0" eb="4">
      <t>ミツモリキンガク</t>
    </rPh>
    <phoneticPr fontId="2"/>
  </si>
  <si>
    <t>(税込)</t>
    <rPh sb="1" eb="3">
      <t>ゼイコミ</t>
    </rPh>
    <phoneticPr fontId="2"/>
  </si>
  <si>
    <t>東京大学医科学研究所</t>
    <phoneticPr fontId="2"/>
  </si>
  <si>
    <t>ヒトゲノム解析センター</t>
    <phoneticPr fontId="2"/>
  </si>
  <si>
    <t>〒108-8639</t>
    <phoneticPr fontId="2"/>
  </si>
  <si>
    <t>東京都港区白金台 4-6-1</t>
    <phoneticPr fontId="2"/>
  </si>
  <si>
    <t>email: support@hgc.jp</t>
    <phoneticPr fontId="2"/>
  </si>
  <si>
    <t>タイトル</t>
    <phoneticPr fontId="2"/>
  </si>
  <si>
    <t>宛先</t>
    <rPh sb="0" eb="2">
      <t>アテサキ</t>
    </rPh>
    <phoneticPr fontId="2"/>
  </si>
  <si>
    <t>日付</t>
    <rPh sb="0" eb="2">
      <t>ヒヅケ</t>
    </rPh>
    <phoneticPr fontId="2"/>
  </si>
  <si>
    <t>有効期限</t>
    <rPh sb="0" eb="4">
      <t>ユウコウキ</t>
    </rPh>
    <phoneticPr fontId="2"/>
  </si>
  <si>
    <t>支払期日</t>
    <rPh sb="0" eb="4">
      <t>シハライキジツ</t>
    </rPh>
    <phoneticPr fontId="2"/>
  </si>
  <si>
    <t>請求明細書</t>
    <rPh sb="0" eb="2">
      <t>セイキュウ</t>
    </rPh>
    <rPh sb="2" eb="5">
      <t>メイサイショ</t>
    </rPh>
    <phoneticPr fontId="2"/>
  </si>
  <si>
    <t>請求先</t>
    <rPh sb="0" eb="3">
      <t>セイキュウサキ</t>
    </rPh>
    <phoneticPr fontId="2"/>
  </si>
  <si>
    <t>請求先住所</t>
    <rPh sb="0" eb="5">
      <t>セイキュウサキジュウショ</t>
    </rPh>
    <phoneticPr fontId="2"/>
  </si>
  <si>
    <t>電話</t>
    <rPh sb="0" eb="2">
      <t>デンワ</t>
    </rPh>
    <phoneticPr fontId="2"/>
  </si>
  <si>
    <t>取引先 ID</t>
    <rPh sb="0" eb="3">
      <t>トリヒキサキ</t>
    </rPh>
    <phoneticPr fontId="2"/>
  </si>
  <si>
    <t>品名</t>
    <rPh sb="0" eb="2">
      <t>ヒンメイ</t>
    </rPh>
    <phoneticPr fontId="2"/>
  </si>
  <si>
    <t>支払期日</t>
    <rPh sb="0" eb="2">
      <t>シハライ</t>
    </rPh>
    <rPh sb="2" eb="4">
      <t>キジツ</t>
    </rPh>
    <phoneticPr fontId="2"/>
  </si>
  <si>
    <t>請求日から 30 日以内</t>
  </si>
  <si>
    <t>発行日から 2 か月</t>
    <phoneticPr fontId="2"/>
  </si>
  <si>
    <t>既定値</t>
    <rPh sb="0" eb="3">
      <t>キテイチ</t>
    </rPh>
    <phoneticPr fontId="2"/>
  </si>
  <si>
    <t>カスタム値</t>
    <rPh sb="4" eb="5">
      <t>チ</t>
    </rPh>
    <phoneticPr fontId="2"/>
  </si>
  <si>
    <t>電子計算機利用費</t>
    <rPh sb="0" eb="5">
      <t>デンシケイサンキ</t>
    </rPh>
    <rPh sb="5" eb="7">
      <t>リヨウ</t>
    </rPh>
    <rPh sb="7" eb="8">
      <t>ヒ</t>
    </rPh>
    <phoneticPr fontId="2"/>
  </si>
  <si>
    <t>支払形式</t>
    <rPh sb="0" eb="2">
      <t>シハライ</t>
    </rPh>
    <rPh sb="2" eb="4">
      <t>ケイシキ</t>
    </rPh>
    <phoneticPr fontId="2"/>
  </si>
  <si>
    <t>備考</t>
    <rPh sb="0" eb="2">
      <t>ビコウ</t>
    </rPh>
    <phoneticPr fontId="2"/>
  </si>
  <si>
    <t>内容</t>
    <rPh sb="0" eb="2">
      <t>ナイヨウ</t>
    </rPh>
    <phoneticPr fontId="2"/>
  </si>
  <si>
    <t>単価</t>
    <rPh sb="0" eb="2">
      <t>タンカ</t>
    </rPh>
    <phoneticPr fontId="2"/>
  </si>
  <si>
    <t>数量</t>
    <rPh sb="0" eb="2">
      <t>スウリョウ</t>
    </rPh>
    <phoneticPr fontId="2"/>
  </si>
  <si>
    <t>利用月数</t>
    <rPh sb="0" eb="2">
      <t>リヨウ</t>
    </rPh>
    <rPh sb="2" eb="4">
      <t>ツキスウ</t>
    </rPh>
    <phoneticPr fontId="2"/>
  </si>
  <si>
    <t>小計</t>
    <rPh sb="0" eb="2">
      <t>ショウケイ</t>
    </rPh>
    <phoneticPr fontId="2"/>
  </si>
  <si>
    <t>利用コース</t>
    <rPh sb="0" eb="2">
      <t>リヨウ</t>
    </rPh>
    <phoneticPr fontId="2"/>
  </si>
  <si>
    <t>オプション</t>
    <phoneticPr fontId="2"/>
  </si>
  <si>
    <t>合計</t>
    <rPh sb="0" eb="2">
      <t>ゴウケイ</t>
    </rPh>
    <phoneticPr fontId="2"/>
  </si>
  <si>
    <t>ご利用ありがとうございます。</t>
    <rPh sb="1" eb="3">
      <t>リヨウ</t>
    </rPh>
    <phoneticPr fontId="2"/>
  </si>
  <si>
    <t>東京大学医科学研究所ヒトゲノム解析センター 〒108-8639 東京都港区白金台 4-6-1 email: support@hgc.jp</t>
    <phoneticPr fontId="2"/>
  </si>
  <si>
    <t>利用明細書</t>
    <rPh sb="0" eb="2">
      <t>リヨウ</t>
    </rPh>
    <rPh sb="2" eb="5">
      <t>メイサイショ</t>
    </rPh>
    <phoneticPr fontId="2"/>
  </si>
  <si>
    <t>月</t>
    <rPh sb="0" eb="1">
      <t>ツキ</t>
    </rPh>
    <phoneticPr fontId="2"/>
  </si>
  <si>
    <t>リソース</t>
    <phoneticPr fontId="2"/>
  </si>
  <si>
    <t>毎月払い</t>
    <rPh sb="0" eb="3">
      <t>マイツキバラ</t>
    </rPh>
    <phoneticPr fontId="2"/>
  </si>
  <si>
    <t>発行日</t>
    <rPh sb="0" eb="3">
      <t>ハッコウビ</t>
    </rPh>
    <phoneticPr fontId="2"/>
  </si>
  <si>
    <t>↖選んでください</t>
    <rPh sb="1" eb="2">
      <t>エラ</t>
    </rPh>
    <phoneticPr fontId="2"/>
  </si>
  <si>
    <t>御中</t>
    <rPh sb="0" eb="2">
      <t>オンチュウ</t>
    </rPh>
    <phoneticPr fontId="2"/>
  </si>
  <si>
    <t>様</t>
    <rPh sb="0" eb="1">
      <t>サマ</t>
    </rPh>
    <phoneticPr fontId="2"/>
  </si>
  <si>
    <t>対象月</t>
    <rPh sb="0" eb="2">
      <t>タイショウ</t>
    </rPh>
    <rPh sb="2" eb="3">
      <t>ツキ</t>
    </rPh>
    <phoneticPr fontId="2"/>
  </si>
  <si>
    <t>利用期間</t>
    <rPh sb="0" eb="2">
      <t>リヨウ</t>
    </rPh>
    <rPh sb="2" eb="4">
      <t>キカン</t>
    </rPh>
    <phoneticPr fontId="2"/>
  </si>
  <si>
    <t>表示</t>
    <rPh sb="0" eb="2">
      <t>ヒョウジ</t>
    </rPh>
    <phoneticPr fontId="2"/>
  </si>
  <si>
    <t>する</t>
    <phoneticPr fontId="2"/>
  </si>
  <si>
    <t>する</t>
    <phoneticPr fontId="2"/>
  </si>
  <si>
    <t>表示しない場合はカスタム値になにか書く</t>
    <rPh sb="0" eb="2">
      <t>ヒョウジ</t>
    </rPh>
    <rPh sb="5" eb="7">
      <t>バアイ</t>
    </rPh>
    <rPh sb="12" eb="13">
      <t>チ</t>
    </rPh>
    <rPh sb="17" eb="18">
      <t>カ</t>
    </rPh>
    <phoneticPr fontId="2"/>
  </si>
  <si>
    <t>まとめ利用者</t>
    <rPh sb="3" eb="6">
      <t>リヨウ</t>
    </rPh>
    <phoneticPr fontId="2"/>
  </si>
  <si>
    <t>Principal Investigator</t>
    <phoneticPr fontId="2"/>
  </si>
  <si>
    <t>Person Responsible for Accounting</t>
    <phoneticPr fontId="2"/>
  </si>
  <si>
    <t>Corresponding User</t>
    <phoneticPr fontId="2"/>
  </si>
  <si>
    <t>本研究は、東京大学医科学研究所ヒトゲノム解析センターのスーパーコンピュータを利用しました (http://sc.hgc.jp/shirokane.html)。</t>
    <phoneticPr fontId="2"/>
  </si>
  <si>
    <t>https://gc.hgc.jp/c/riyou_sinsei.xlsx</t>
    <phoneticPr fontId="2"/>
  </si>
  <si>
    <t>見積</t>
    <rPh sb="0" eb="2">
      <t>ミツモリ</t>
    </rPh>
    <phoneticPr fontId="2"/>
  </si>
  <si>
    <t>Quotation</t>
    <phoneticPr fontId="2"/>
  </si>
  <si>
    <t>この様式の有効期限</t>
    <rPh sb="2" eb="4">
      <t>ヨウシキ</t>
    </rPh>
    <rPh sb="5" eb="9">
      <t>ユウコウキゲン</t>
    </rPh>
    <phoneticPr fontId="2"/>
  </si>
  <si>
    <t>This form is outdated and cannot be used for applications. Please download a new application form from the website of Human Genome Center.</t>
    <phoneticPr fontId="2"/>
  </si>
  <si>
    <t>a100</t>
    <phoneticPr fontId="2"/>
  </si>
  <si>
    <t>A100</t>
    <phoneticPr fontId="2"/>
  </si>
  <si>
    <t>東京大学医科学研究所
ヒトゲノム解析センター
〒108-8639
東京都港区白金台 4-6-1
E-mail: support@hgc.jp</t>
    <phoneticPr fontId="2"/>
  </si>
  <si>
    <t>東京大学医科学研究所
ヒトゲノム解析センター
〒108-8639
東京都港区白金台 4-6-1
E-mail: support@hgc.jp</t>
    <phoneticPr fontId="2"/>
  </si>
  <si>
    <t>この様式が古く新しい申請に使うことはできません。ヒトゲノム解析センターの Web サイトから新しい利用申請書をダウンロードしてください。</t>
    <rPh sb="2" eb="4">
      <t>ヨウシキ</t>
    </rPh>
    <rPh sb="5" eb="6">
      <t>フル</t>
    </rPh>
    <rPh sb="7" eb="8">
      <t>アタラ</t>
    </rPh>
    <rPh sb="10" eb="12">
      <t>シンセイ</t>
    </rPh>
    <rPh sb="13" eb="14">
      <t>ツカ</t>
    </rPh>
    <rPh sb="46" eb="47">
      <t>アタラ</t>
    </rPh>
    <rPh sb="49" eb="51">
      <t>リヨウ</t>
    </rPh>
    <rPh sb="51" eb="54">
      <t>シンセイショ</t>
    </rPh>
    <phoneticPr fontId="2"/>
  </si>
  <si>
    <t>max</t>
    <phoneticPr fontId="2"/>
  </si>
  <si>
    <t>h100</t>
    <phoneticPr fontId="2"/>
  </si>
  <si>
    <t>H100</t>
    <phoneticPr fontId="2"/>
  </si>
  <si>
    <t>Japanese</t>
  </si>
  <si>
    <t>https://gc.hgc.jp/license2/</t>
    <phoneticPr fontId="2"/>
  </si>
  <si>
    <t>この様式は、 2026 年 3 月までが利用開始の申請に限り使用できます。 2026 年 4 月以降が利用開始の申請には使用できません。</t>
    <rPh sb="2" eb="4">
      <t>ヨウシキ</t>
    </rPh>
    <rPh sb="12" eb="13">
      <t>ネン</t>
    </rPh>
    <rPh sb="16" eb="17">
      <t>ガツ</t>
    </rPh>
    <rPh sb="20" eb="24">
      <t>リヨウカイシ</t>
    </rPh>
    <rPh sb="25" eb="27">
      <t>シンセイ</t>
    </rPh>
    <rPh sb="28" eb="29">
      <t>カギ</t>
    </rPh>
    <rPh sb="30" eb="32">
      <t>シヨウ</t>
    </rPh>
    <rPh sb="43" eb="44">
      <t>ネン</t>
    </rPh>
    <rPh sb="47" eb="48">
      <t>ガツ</t>
    </rPh>
    <rPh sb="48" eb="50">
      <t>イコウ</t>
    </rPh>
    <rPh sb="51" eb="55">
      <t>リヨウカイシ</t>
    </rPh>
    <rPh sb="56" eb="58">
      <t>シンセイ</t>
    </rPh>
    <rPh sb="60" eb="62">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</si>
</sst>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 &quot;¥&quot;* #,##0_ ;_ &quot;¥&quot;* \-#,##0_ ;_ &quot;¥&quot;* &quot;-&quot;_ ;_ @_ "/>
    <numFmt numFmtId="176" formatCode="0;\-0;;@"/>
    <numFmt numFmtId="177" formatCode="#,##0.0;[Red]\-#,##0.0"/>
    <numFmt numFmtId="178" formatCode="#;\-#;;@"/>
    <numFmt numFmtId="179" formatCode="#,###;\-#,###;;@"/>
    <numFmt numFmtId="180" formatCode="&quot;¥&quot;#,###;\-#,###;;@"/>
    <numFmt numFmtId="181" formatCode="#"/>
    <numFmt numFmtId="182" formatCode="0;;;@"/>
    <numFmt numFmtId="183" formatCode="#,###"/>
    <numFmt numFmtId="184" formatCode="0_ "/>
    <numFmt numFmtId="185" formatCode="0_);[Red]\(0\)"/>
    <numFmt numFmtId="186" formatCode="&quot;¥&quot;#,##0_);[Red]\(&quot;¥&quot;#,##0\)"/>
    <numFmt numFmtId="187" formatCode="yyyy&quot;年&quot;m&quot;月&quot;d&quot;日&quot;;@"/>
    <numFmt numFmtId="188" formatCode="[$-F800]dddd\,\ mmmm\ dd\,\ yyyy"/>
  </numFmts>
  <fonts count="58" x14ac:knownFonts="1">
    <font>
      <sz val="11"/>
      <color theme="1"/>
      <name val="游ゴシック"/>
      <family val="2"/>
      <charset val="128"/>
      <scheme val="minor"/>
    </font>
    <font>
      <sz val="11"/>
      <color rgb="FF006100"/>
      <name val="游ゴシック"/>
      <family val="2"/>
      <charset val="128"/>
      <scheme val="minor"/>
    </font>
    <font>
      <sz val="6"/>
      <name val="游ゴシック"/>
      <family val="2"/>
      <charset val="128"/>
      <scheme val="minor"/>
    </font>
    <font>
      <sz val="16"/>
      <color rgb="FF006100"/>
      <name val="游ゴシック"/>
      <family val="2"/>
      <charset val="128"/>
      <scheme val="minor"/>
    </font>
    <font>
      <b/>
      <sz val="14"/>
      <color theme="1"/>
      <name val="游ゴシック"/>
      <family val="2"/>
      <charset val="128"/>
      <scheme val="minor"/>
    </font>
    <font>
      <sz val="11"/>
      <color theme="1"/>
      <name val="游ゴシック"/>
      <family val="2"/>
      <charset val="128"/>
      <scheme val="minor"/>
    </font>
    <font>
      <b/>
      <sz val="11"/>
      <color theme="1"/>
      <name val="游ゴシック"/>
      <family val="3"/>
      <charset val="128"/>
      <scheme val="minor"/>
    </font>
    <font>
      <u/>
      <sz val="11"/>
      <color theme="10"/>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b/>
      <sz val="8"/>
      <color theme="1"/>
      <name val="游ゴシック"/>
      <family val="3"/>
      <charset val="128"/>
      <scheme val="minor"/>
    </font>
    <font>
      <sz val="16"/>
      <color theme="1" tint="0.499984740745262"/>
      <name val="游ゴシック"/>
      <family val="2"/>
      <charset val="128"/>
      <scheme val="minor"/>
    </font>
    <font>
      <sz val="11"/>
      <color indexed="8"/>
      <name val="ＭＳ Ｐ明朝"/>
      <family val="1"/>
      <charset val="128"/>
    </font>
    <font>
      <sz val="12"/>
      <color theme="1"/>
      <name val="游ゴシック"/>
      <family val="2"/>
      <charset val="128"/>
      <scheme val="minor"/>
    </font>
    <font>
      <b/>
      <sz val="10"/>
      <color theme="1"/>
      <name val="游ゴシック"/>
      <family val="2"/>
      <charset val="128"/>
      <scheme val="minor"/>
    </font>
    <font>
      <sz val="6"/>
      <color theme="1"/>
      <name val="游ゴシック"/>
      <family val="2"/>
      <charset val="128"/>
      <scheme val="minor"/>
    </font>
    <font>
      <b/>
      <sz val="9"/>
      <color theme="1"/>
      <name val="游ゴシック"/>
      <family val="3"/>
      <charset val="128"/>
      <scheme val="minor"/>
    </font>
    <font>
      <sz val="9"/>
      <color theme="1"/>
      <name val="Times New Roman"/>
      <family val="1"/>
    </font>
    <font>
      <sz val="6"/>
      <color theme="1"/>
      <name val="Times New Roman"/>
      <family val="1"/>
    </font>
    <font>
      <b/>
      <sz val="10"/>
      <color theme="1"/>
      <name val="游ゴシック"/>
      <family val="3"/>
      <charset val="128"/>
      <scheme val="minor"/>
    </font>
    <font>
      <b/>
      <sz val="11"/>
      <color theme="1"/>
      <name val="游ゴシック"/>
      <family val="2"/>
      <charset val="128"/>
      <scheme val="minor"/>
    </font>
    <font>
      <sz val="8"/>
      <color theme="1"/>
      <name val="Times New Roman"/>
      <family val="1"/>
    </font>
    <font>
      <sz val="10"/>
      <color theme="1"/>
      <name val="Times New Roman"/>
      <family val="1"/>
    </font>
    <font>
      <b/>
      <sz val="10"/>
      <color theme="1"/>
      <name val="Times New Roman"/>
      <family val="1"/>
    </font>
    <font>
      <b/>
      <sz val="11"/>
      <color theme="0"/>
      <name val="Times New Roman"/>
      <family val="1"/>
    </font>
    <font>
      <b/>
      <sz val="6"/>
      <color theme="0"/>
      <name val="游ゴシック"/>
      <family val="2"/>
      <charset val="128"/>
      <scheme val="minor"/>
    </font>
    <font>
      <sz val="10"/>
      <color theme="1"/>
      <name val="Consolas"/>
      <family val="3"/>
    </font>
    <font>
      <sz val="13"/>
      <color rgb="FF006100"/>
      <name val="游ゴシック"/>
      <family val="2"/>
      <charset val="128"/>
      <scheme val="minor"/>
    </font>
    <font>
      <sz val="7"/>
      <color theme="1"/>
      <name val="游ゴシック"/>
      <family val="2"/>
      <charset val="128"/>
      <scheme val="minor"/>
    </font>
    <font>
      <b/>
      <sz val="10"/>
      <color theme="0"/>
      <name val="Times New Roman"/>
      <family val="1"/>
    </font>
    <font>
      <sz val="12"/>
      <color rgb="FF006100"/>
      <name val="游ゴシック"/>
      <family val="2"/>
      <charset val="128"/>
      <scheme val="minor"/>
    </font>
    <font>
      <sz val="12"/>
      <color rgb="FF006100"/>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5"/>
      <color theme="1"/>
      <name val="Times New Roman"/>
      <family val="1"/>
    </font>
    <font>
      <sz val="5"/>
      <color theme="1"/>
      <name val="游ゴシック"/>
      <family val="2"/>
      <charset val="128"/>
      <scheme val="minor"/>
    </font>
    <font>
      <b/>
      <sz val="8"/>
      <color theme="1"/>
      <name val="游ゴシック"/>
      <family val="2"/>
      <charset val="128"/>
      <scheme val="minor"/>
    </font>
    <font>
      <sz val="8"/>
      <color theme="1"/>
      <name val="Consolas"/>
      <family val="3"/>
    </font>
    <font>
      <sz val="12"/>
      <color theme="1"/>
      <name val="游ゴシック"/>
      <family val="3"/>
      <charset val="128"/>
      <scheme val="minor"/>
    </font>
    <font>
      <sz val="16"/>
      <color theme="1"/>
      <name val="游ゴシック"/>
      <family val="2"/>
      <charset val="128"/>
      <scheme val="minor"/>
    </font>
    <font>
      <sz val="26"/>
      <color theme="1"/>
      <name val="游ゴシック"/>
      <family val="2"/>
      <charset val="128"/>
      <scheme val="minor"/>
    </font>
    <font>
      <sz val="26"/>
      <color theme="1"/>
      <name val="游ゴシック"/>
      <family val="3"/>
      <charset val="128"/>
      <scheme val="minor"/>
    </font>
    <font>
      <sz val="7"/>
      <color theme="1"/>
      <name val="Times New Roman"/>
      <family val="1"/>
    </font>
    <font>
      <b/>
      <sz val="11"/>
      <color rgb="FF3F3F3F"/>
      <name val="游ゴシック"/>
      <family val="2"/>
      <charset val="128"/>
      <scheme val="minor"/>
    </font>
    <font>
      <sz val="10"/>
      <color theme="1"/>
      <name val="游ゴシック"/>
      <family val="3"/>
      <charset val="128"/>
      <scheme val="minor"/>
    </font>
    <font>
      <sz val="10"/>
      <color theme="1"/>
      <name val="游ゴシック"/>
      <family val="2"/>
      <charset val="128"/>
      <scheme val="minor"/>
    </font>
    <font>
      <sz val="24"/>
      <color theme="1"/>
      <name val="游ゴシック"/>
      <family val="3"/>
      <charset val="128"/>
      <scheme val="minor"/>
    </font>
    <font>
      <b/>
      <sz val="24"/>
      <color theme="1"/>
      <name val="游ゴシック"/>
      <family val="3"/>
      <charset val="128"/>
      <scheme val="minor"/>
    </font>
    <font>
      <b/>
      <sz val="12"/>
      <color theme="1"/>
      <name val="游ゴシック"/>
      <family val="3"/>
      <charset val="128"/>
      <scheme val="minor"/>
    </font>
    <font>
      <sz val="11"/>
      <color theme="6"/>
      <name val="游ゴシック"/>
      <family val="2"/>
      <charset val="128"/>
      <scheme val="minor"/>
    </font>
    <font>
      <sz val="11"/>
      <color theme="10"/>
      <name val="游ゴシック"/>
      <family val="2"/>
      <charset val="128"/>
      <scheme val="minor"/>
    </font>
    <font>
      <sz val="11"/>
      <color theme="10"/>
      <name val="游ゴシック"/>
      <family val="3"/>
      <charset val="128"/>
      <scheme val="minor"/>
    </font>
    <font>
      <b/>
      <sz val="11"/>
      <color rgb="FFFF0000"/>
      <name val="游ゴシック"/>
      <family val="3"/>
      <charset val="128"/>
      <scheme val="minor"/>
    </font>
    <font>
      <b/>
      <sz val="8"/>
      <color rgb="FFFF0000"/>
      <name val="游ゴシック"/>
      <family val="3"/>
      <charset val="128"/>
      <scheme val="minor"/>
    </font>
    <font>
      <b/>
      <sz val="6"/>
      <color rgb="FFFF0000"/>
      <name val="游ゴシック"/>
      <family val="3"/>
      <charset val="128"/>
      <scheme val="minor"/>
    </font>
    <font>
      <sz val="6"/>
      <color theme="0" tint="-0.499984740745262"/>
      <name val="游ゴシック"/>
      <family val="2"/>
      <charset val="128"/>
      <scheme val="minor"/>
    </font>
    <font>
      <sz val="11"/>
      <color theme="5"/>
      <name val="游ゴシック"/>
      <family val="2"/>
      <charset val="128"/>
      <scheme val="minor"/>
    </font>
  </fonts>
  <fills count="8">
    <fill>
      <patternFill patternType="none"/>
    </fill>
    <fill>
      <patternFill patternType="gray125"/>
    </fill>
    <fill>
      <patternFill patternType="solid">
        <fgColor rgb="FFC6EFCE"/>
      </patternFill>
    </fill>
    <fill>
      <patternFill patternType="solid">
        <fgColor theme="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2F2F2"/>
      </patternFill>
    </fill>
  </fills>
  <borders count="73">
    <border>
      <left/>
      <right/>
      <top/>
      <bottom/>
      <diagonal/>
    </border>
    <border>
      <left style="medium">
        <color theme="6"/>
      </left>
      <right style="medium">
        <color theme="6"/>
      </right>
      <top style="medium">
        <color theme="6"/>
      </top>
      <bottom style="medium">
        <color theme="6"/>
      </bottom>
      <diagonal/>
    </border>
    <border>
      <left style="medium">
        <color theme="6"/>
      </left>
      <right/>
      <top style="medium">
        <color theme="6"/>
      </top>
      <bottom style="medium">
        <color theme="6"/>
      </bottom>
      <diagonal/>
    </border>
    <border>
      <left/>
      <right style="medium">
        <color theme="6"/>
      </right>
      <top style="medium">
        <color theme="6"/>
      </top>
      <bottom style="medium">
        <color theme="6"/>
      </bottom>
      <diagonal/>
    </border>
    <border>
      <left/>
      <right/>
      <top style="medium">
        <color theme="6"/>
      </top>
      <bottom style="medium">
        <color theme="6"/>
      </bottom>
      <diagonal/>
    </border>
    <border>
      <left/>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top/>
      <bottom style="hair">
        <color indexed="64"/>
      </bottom>
      <diagonal/>
    </border>
    <border>
      <left/>
      <right/>
      <top style="hair">
        <color indexed="64"/>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style="hair">
        <color theme="1" tint="0.499984740745262"/>
      </left>
      <right style="thin">
        <color theme="1" tint="0.499984740745262"/>
      </right>
      <top style="hair">
        <color theme="1" tint="0.499984740745262"/>
      </top>
      <bottom style="hair">
        <color theme="1" tint="0.499984740745262"/>
      </bottom>
      <diagonal/>
    </border>
    <border>
      <left/>
      <right style="thin">
        <color theme="1" tint="0.499984740745262"/>
      </right>
      <top style="hair">
        <color theme="1" tint="0.499984740745262"/>
      </top>
      <bottom style="hair">
        <color theme="1" tint="0.499984740745262"/>
      </bottom>
      <diagonal/>
    </border>
    <border>
      <left/>
      <right/>
      <top style="hair">
        <color theme="1" tint="0.499984740745262"/>
      </top>
      <bottom style="thin">
        <color theme="1" tint="0.499984740745262"/>
      </bottom>
      <diagonal/>
    </border>
    <border>
      <left style="hair">
        <color theme="1" tint="0.499984740745262"/>
      </left>
      <right/>
      <top style="thin">
        <color theme="1" tint="0.499984740745262"/>
      </top>
      <bottom style="hair">
        <color theme="1" tint="0.499984740745262"/>
      </bottom>
      <diagonal/>
    </border>
    <border>
      <left/>
      <right style="hair">
        <color theme="1" tint="0.499984740745262"/>
      </right>
      <top/>
      <bottom style="thin">
        <color theme="1" tint="0.499984740745262"/>
      </bottom>
      <diagonal/>
    </border>
    <border>
      <left/>
      <right/>
      <top/>
      <bottom style="hair">
        <color theme="1" tint="0.499984740745262"/>
      </bottom>
      <diagonal/>
    </border>
    <border>
      <left/>
      <right style="thin">
        <color theme="1" tint="0.499984740745262"/>
      </right>
      <top/>
      <bottom style="hair">
        <color theme="1" tint="0.499984740745262"/>
      </bottom>
      <diagonal/>
    </border>
    <border>
      <left/>
      <right style="hair">
        <color theme="1" tint="0.499984740745262"/>
      </right>
      <top/>
      <bottom/>
      <diagonal/>
    </border>
    <border>
      <left/>
      <right style="hair">
        <color theme="1" tint="0.499984740745262"/>
      </right>
      <top style="thin">
        <color theme="1" tint="0.499984740745262"/>
      </top>
      <bottom/>
      <diagonal/>
    </border>
    <border>
      <left/>
      <right style="hair">
        <color theme="1" tint="0.499984740745262"/>
      </right>
      <top/>
      <bottom style="hair">
        <color theme="1" tint="0.499984740745262"/>
      </bottom>
      <diagonal/>
    </border>
    <border>
      <left style="hair">
        <color theme="1" tint="0.499984740745262"/>
      </left>
      <right/>
      <top/>
      <bottom style="hair">
        <color theme="1" tint="0.499984740745262"/>
      </bottom>
      <diagonal/>
    </border>
    <border>
      <left style="thin">
        <color theme="1" tint="0.499984740745262"/>
      </left>
      <right/>
      <top/>
      <bottom style="hair">
        <color theme="1" tint="0.499984740745262"/>
      </bottom>
      <diagonal/>
    </border>
    <border>
      <left style="hair">
        <color theme="1" tint="0.499984740745262"/>
      </left>
      <right style="hair">
        <color theme="1" tint="0.499984740745262"/>
      </right>
      <top/>
      <bottom style="hair">
        <color theme="1" tint="0.499984740745262"/>
      </bottom>
      <diagonal/>
    </border>
    <border>
      <left style="thin">
        <color theme="1" tint="0.499984740745262"/>
      </left>
      <right/>
      <top style="hair">
        <color theme="1" tint="0.499984740745262"/>
      </top>
      <bottom/>
      <diagonal/>
    </border>
    <border>
      <left style="hair">
        <color theme="1" tint="0.499984740745262"/>
      </left>
      <right/>
      <top/>
      <bottom/>
      <diagonal/>
    </border>
    <border>
      <left style="hair">
        <color theme="1" tint="0.499984740745262"/>
      </left>
      <right/>
      <top style="hair">
        <color theme="1" tint="0.499984740745262"/>
      </top>
      <bottom/>
      <diagonal/>
    </border>
    <border>
      <left/>
      <right/>
      <top style="hair">
        <color theme="1" tint="0.499984740745262"/>
      </top>
      <bottom/>
      <diagonal/>
    </border>
    <border>
      <left/>
      <right style="thin">
        <color theme="1" tint="0.499984740745262"/>
      </right>
      <top style="hair">
        <color theme="1" tint="0.499984740745262"/>
      </top>
      <bottom/>
      <diagonal/>
    </border>
    <border>
      <left/>
      <right style="hair">
        <color theme="1" tint="0.499984740745262"/>
      </right>
      <top style="hair">
        <color theme="1" tint="0.499984740745262"/>
      </top>
      <bottom/>
      <diagonal/>
    </border>
    <border>
      <left/>
      <right style="thin">
        <color theme="1" tint="0.499984740745262"/>
      </right>
      <top style="hair">
        <color indexed="64"/>
      </top>
      <bottom/>
      <diagonal/>
    </border>
    <border>
      <left/>
      <right style="thin">
        <color theme="1" tint="0.499984740745262"/>
      </right>
      <top/>
      <bottom style="hair">
        <color indexed="64"/>
      </bottom>
      <diagonal/>
    </border>
    <border>
      <left style="hair">
        <color theme="1" tint="0.499984740745262"/>
      </left>
      <right/>
      <top style="hair">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bottom style="hair">
        <color indexed="64"/>
      </bottom>
      <diagonal/>
    </border>
    <border>
      <left style="hair">
        <color theme="1" tint="0.499984740745262"/>
      </left>
      <right/>
      <top/>
      <bottom style="thin">
        <color theme="1" tint="0.499984740745262"/>
      </bottom>
      <diagonal/>
    </border>
    <border>
      <left style="thin">
        <color theme="1" tint="0.499984740745262"/>
      </left>
      <right/>
      <top style="thin">
        <color theme="1" tint="0.499984740745262"/>
      </top>
      <bottom style="hair">
        <color theme="1" tint="0.499984740745262"/>
      </bottom>
      <diagonal/>
    </border>
    <border>
      <left/>
      <right/>
      <top style="thin">
        <color theme="1" tint="0.499984740745262"/>
      </top>
      <bottom style="hair">
        <color theme="1" tint="0.499984740745262"/>
      </bottom>
      <diagonal/>
    </border>
    <border>
      <left/>
      <right style="thin">
        <color theme="1" tint="0.499984740745262"/>
      </right>
      <top style="thin">
        <color theme="1" tint="0.499984740745262"/>
      </top>
      <bottom style="hair">
        <color theme="1" tint="0.499984740745262"/>
      </bottom>
      <diagonal/>
    </border>
    <border>
      <left style="thin">
        <color theme="1" tint="0.499984740745262"/>
      </left>
      <right/>
      <top style="hair">
        <color theme="1" tint="0.499984740745262"/>
      </top>
      <bottom style="hair">
        <color theme="1" tint="0.499984740745262"/>
      </bottom>
      <diagonal/>
    </border>
    <border>
      <left style="thin">
        <color theme="1" tint="0.499984740745262"/>
      </left>
      <right/>
      <top style="hair">
        <color theme="1" tint="0.499984740745262"/>
      </top>
      <bottom style="thin">
        <color theme="1" tint="0.499984740745262"/>
      </bottom>
      <diagonal/>
    </border>
    <border>
      <left/>
      <right/>
      <top/>
      <bottom style="medium">
        <color auto="1"/>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tint="0.499984740745262"/>
      </left>
      <right/>
      <top/>
      <bottom style="thin">
        <color auto="1"/>
      </bottom>
      <diagonal/>
    </border>
    <border>
      <left/>
      <right style="thin">
        <color theme="1" tint="0.499984740745262"/>
      </right>
      <top style="thin">
        <color auto="1"/>
      </top>
      <bottom/>
      <diagonal/>
    </border>
  </borders>
  <cellStyleXfs count="8">
    <xf numFmtId="0" fontId="0" fillId="0" borderId="0">
      <alignment vertical="center"/>
    </xf>
    <xf numFmtId="0" fontId="1" fillId="2" borderId="0" applyNumberFormat="0" applyBorder="0" applyAlignment="0" applyProtection="0">
      <alignment vertical="center"/>
    </xf>
    <xf numFmtId="49" fontId="3" fillId="2" borderId="1">
      <alignment horizontal="center" vertical="center"/>
      <protection locked="0"/>
    </xf>
    <xf numFmtId="0" fontId="4" fillId="0" borderId="0">
      <alignment vertical="center"/>
    </xf>
    <xf numFmtId="38" fontId="5" fillId="0" borderId="0" applyFont="0" applyFill="0" applyBorder="0" applyAlignment="0" applyProtection="0">
      <alignment vertical="center"/>
    </xf>
    <xf numFmtId="0" fontId="7" fillId="0" borderId="0" applyNumberFormat="0" applyFill="0" applyBorder="0" applyAlignment="0" applyProtection="0">
      <alignment vertical="center"/>
    </xf>
    <xf numFmtId="0" fontId="13" fillId="0" borderId="0">
      <alignment vertical="center"/>
    </xf>
    <xf numFmtId="0" fontId="44" fillId="7" borderId="55" applyNumberFormat="0" applyAlignment="0" applyProtection="0">
      <alignment vertical="center"/>
    </xf>
  </cellStyleXfs>
  <cellXfs count="376">
    <xf numFmtId="0" fontId="0" fillId="0" borderId="0" xfId="0">
      <alignment vertical="center"/>
    </xf>
    <xf numFmtId="0" fontId="0" fillId="0" borderId="0" xfId="0" applyAlignment="1">
      <alignment vertical="center" wrapText="1"/>
    </xf>
    <xf numFmtId="0" fontId="4" fillId="0" borderId="0" xfId="3">
      <alignment vertical="center"/>
    </xf>
    <xf numFmtId="0" fontId="4" fillId="0" borderId="0" xfId="3" applyNumberFormat="1">
      <alignment vertical="center"/>
    </xf>
    <xf numFmtId="0" fontId="0" fillId="0" borderId="0" xfId="0" applyAlignment="1">
      <alignment vertical="center"/>
    </xf>
    <xf numFmtId="0" fontId="6" fillId="0" borderId="0" xfId="0" applyFont="1">
      <alignment vertical="center"/>
    </xf>
    <xf numFmtId="0" fontId="0" fillId="0" borderId="0" xfId="0" applyAlignment="1">
      <alignment horizontal="left" vertical="center"/>
    </xf>
    <xf numFmtId="38" fontId="0" fillId="0" borderId="0" xfId="4" applyFont="1">
      <alignment vertical="center"/>
    </xf>
    <xf numFmtId="38" fontId="0" fillId="0" borderId="0" xfId="0" applyNumberForma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4" fillId="0" borderId="0" xfId="0" applyFont="1" applyAlignment="1">
      <alignment vertical="center"/>
    </xf>
    <xf numFmtId="0" fontId="0" fillId="0" borderId="0" xfId="0" applyBorder="1">
      <alignment vertical="center"/>
    </xf>
    <xf numFmtId="0" fontId="14" fillId="0" borderId="0" xfId="0" applyFont="1" applyAlignment="1">
      <alignment horizontal="right" vertical="top"/>
    </xf>
    <xf numFmtId="0" fontId="9" fillId="0" borderId="0" xfId="0" applyFont="1" applyBorder="1" applyAlignment="1">
      <alignment horizontal="left" vertical="center" wrapText="1"/>
    </xf>
    <xf numFmtId="0" fontId="16" fillId="0" borderId="0" xfId="0" applyFont="1" applyBorder="1" applyAlignment="1">
      <alignment horizontal="left" vertical="top"/>
    </xf>
    <xf numFmtId="0" fontId="8" fillId="0" borderId="0" xfId="0" applyFont="1" applyBorder="1">
      <alignment vertical="center"/>
    </xf>
    <xf numFmtId="0" fontId="0" fillId="0" borderId="0" xfId="0" applyBorder="1" applyAlignment="1">
      <alignment horizontal="left" vertical="center"/>
    </xf>
    <xf numFmtId="0" fontId="16" fillId="0" borderId="0" xfId="0" applyFont="1" applyBorder="1" applyAlignment="1">
      <alignment horizontal="right" vertical="top"/>
    </xf>
    <xf numFmtId="0" fontId="8" fillId="0" borderId="0" xfId="0" applyFont="1" applyBorder="1" applyAlignment="1">
      <alignment vertical="center" wrapText="1"/>
    </xf>
    <xf numFmtId="0" fontId="8" fillId="0" borderId="0" xfId="0" applyFont="1" applyBorder="1" applyAlignment="1">
      <alignment vertical="center"/>
    </xf>
    <xf numFmtId="0" fontId="8" fillId="0" borderId="0" xfId="0" applyFont="1" applyBorder="1" applyAlignment="1">
      <alignment horizontal="left" vertical="center"/>
    </xf>
    <xf numFmtId="0" fontId="8" fillId="0" borderId="5" xfId="0" applyFont="1" applyBorder="1">
      <alignment vertical="center"/>
    </xf>
    <xf numFmtId="0" fontId="0" fillId="0" borderId="10" xfId="0" applyBorder="1">
      <alignment vertical="center"/>
    </xf>
    <xf numFmtId="0" fontId="0" fillId="0" borderId="13" xfId="0" applyBorder="1">
      <alignment vertical="center"/>
    </xf>
    <xf numFmtId="0" fontId="8" fillId="0" borderId="14" xfId="0" applyFont="1" applyBorder="1">
      <alignment vertical="center"/>
    </xf>
    <xf numFmtId="0" fontId="0" fillId="0" borderId="0" xfId="0" quotePrefix="1">
      <alignment vertical="center"/>
    </xf>
    <xf numFmtId="0" fontId="15" fillId="0" borderId="0" xfId="3" applyFont="1" applyAlignment="1">
      <alignment vertical="center"/>
    </xf>
    <xf numFmtId="0" fontId="9" fillId="0" borderId="0" xfId="0" applyFont="1" applyBorder="1" applyAlignment="1">
      <alignment vertical="center" wrapText="1"/>
    </xf>
    <xf numFmtId="176" fontId="0" fillId="0" borderId="0" xfId="0" applyNumberFormat="1" applyBorder="1">
      <alignment vertical="center"/>
    </xf>
    <xf numFmtId="176" fontId="0" fillId="0" borderId="0" xfId="0" applyNumberFormat="1">
      <alignment vertical="center"/>
    </xf>
    <xf numFmtId="177" fontId="0" fillId="0" borderId="0" xfId="4" applyNumberFormat="1" applyFont="1">
      <alignment vertical="center"/>
    </xf>
    <xf numFmtId="0" fontId="9" fillId="0" borderId="19" xfId="0" applyFont="1" applyBorder="1" applyAlignment="1">
      <alignment vertical="center"/>
    </xf>
    <xf numFmtId="0" fontId="9" fillId="0" borderId="19" xfId="0" applyFont="1" applyBorder="1" applyAlignment="1">
      <alignment vertical="center" wrapText="1"/>
    </xf>
    <xf numFmtId="0" fontId="8" fillId="0" borderId="13" xfId="0" applyFont="1" applyBorder="1">
      <alignment vertical="center"/>
    </xf>
    <xf numFmtId="0" fontId="0" fillId="0" borderId="29" xfId="0" applyBorder="1">
      <alignment vertical="center"/>
    </xf>
    <xf numFmtId="0" fontId="8" fillId="0" borderId="29" xfId="0" applyFont="1" applyBorder="1">
      <alignment vertical="center"/>
    </xf>
    <xf numFmtId="0" fontId="0" fillId="0" borderId="33" xfId="0" applyBorder="1">
      <alignment vertical="center"/>
    </xf>
    <xf numFmtId="0" fontId="0" fillId="0" borderId="30" xfId="0" applyBorder="1">
      <alignment vertical="center"/>
    </xf>
    <xf numFmtId="0" fontId="16" fillId="0" borderId="22" xfId="0" applyFont="1" applyBorder="1" applyAlignment="1">
      <alignment horizontal="left" vertical="top"/>
    </xf>
    <xf numFmtId="0" fontId="8" fillId="0" borderId="22" xfId="0" applyFont="1" applyBorder="1" applyAlignment="1">
      <alignment horizontal="left" vertical="center"/>
    </xf>
    <xf numFmtId="0" fontId="0" fillId="0" borderId="22" xfId="0" applyBorder="1">
      <alignment vertical="center"/>
    </xf>
    <xf numFmtId="0" fontId="8" fillId="0" borderId="31" xfId="0" applyFont="1" applyBorder="1">
      <alignment vertical="center"/>
    </xf>
    <xf numFmtId="0" fontId="0" fillId="0" borderId="31" xfId="0" applyBorder="1">
      <alignment vertical="center"/>
    </xf>
    <xf numFmtId="0" fontId="0" fillId="0" borderId="40" xfId="0" applyBorder="1">
      <alignment vertical="center"/>
    </xf>
    <xf numFmtId="0" fontId="0" fillId="0" borderId="41" xfId="0" applyBorder="1">
      <alignment vertical="center"/>
    </xf>
    <xf numFmtId="0" fontId="9" fillId="0" borderId="13" xfId="0" applyFont="1" applyBorder="1" applyAlignment="1">
      <alignment horizontal="left" vertical="center" wrapText="1"/>
    </xf>
    <xf numFmtId="0" fontId="16" fillId="0" borderId="22" xfId="0" applyFont="1" applyBorder="1" applyAlignment="1">
      <alignment horizontal="right" vertical="top"/>
    </xf>
    <xf numFmtId="0" fontId="8" fillId="0" borderId="22" xfId="0" applyFont="1" applyBorder="1">
      <alignment vertical="center"/>
    </xf>
    <xf numFmtId="0" fontId="8" fillId="0" borderId="30" xfId="0" applyFont="1" applyBorder="1">
      <alignment vertical="center"/>
    </xf>
    <xf numFmtId="0" fontId="8" fillId="0" borderId="18" xfId="0" applyFont="1" applyBorder="1">
      <alignment vertical="center"/>
    </xf>
    <xf numFmtId="0" fontId="19" fillId="0" borderId="13" xfId="0" applyFont="1" applyBorder="1" applyAlignment="1">
      <alignment vertical="top"/>
    </xf>
    <xf numFmtId="0" fontId="19" fillId="0" borderId="22" xfId="0" applyFont="1" applyBorder="1" applyAlignment="1">
      <alignment horizontal="left" vertical="top"/>
    </xf>
    <xf numFmtId="0" fontId="19" fillId="0" borderId="0" xfId="0" applyFont="1" applyBorder="1" applyAlignment="1">
      <alignment vertical="top"/>
    </xf>
    <xf numFmtId="0" fontId="19" fillId="0" borderId="27" xfId="0" applyFont="1" applyBorder="1" applyAlignment="1">
      <alignment vertical="top"/>
    </xf>
    <xf numFmtId="0" fontId="19" fillId="0" borderId="40" xfId="0" applyFont="1" applyBorder="1" applyAlignment="1">
      <alignment horizontal="left" vertical="top"/>
    </xf>
    <xf numFmtId="0" fontId="19" fillId="0" borderId="29" xfId="0" applyFont="1" applyBorder="1" applyAlignment="1">
      <alignment horizontal="right" vertical="top"/>
    </xf>
    <xf numFmtId="0" fontId="19" fillId="0" borderId="39" xfId="0" applyFont="1" applyBorder="1" applyAlignment="1">
      <alignment horizontal="left" vertical="top"/>
    </xf>
    <xf numFmtId="0" fontId="19" fillId="0" borderId="0" xfId="0" applyFont="1" applyBorder="1" applyAlignment="1">
      <alignment horizontal="left" vertical="top"/>
    </xf>
    <xf numFmtId="0" fontId="19" fillId="0" borderId="38" xfId="0" applyFont="1" applyBorder="1" applyAlignment="1">
      <alignment horizontal="left" vertical="top"/>
    </xf>
    <xf numFmtId="0" fontId="19" fillId="0" borderId="34" xfId="0" applyFont="1" applyBorder="1" applyAlignment="1">
      <alignment horizontal="left" vertical="top"/>
    </xf>
    <xf numFmtId="0" fontId="19" fillId="0" borderId="21" xfId="0" applyFont="1" applyBorder="1" applyAlignment="1">
      <alignment horizontal="left" vertical="top"/>
    </xf>
    <xf numFmtId="0" fontId="19" fillId="0" borderId="29" xfId="0" applyFont="1" applyBorder="1" applyAlignment="1">
      <alignment horizontal="left" vertical="top"/>
    </xf>
    <xf numFmtId="38" fontId="20" fillId="0" borderId="0" xfId="0" applyNumberFormat="1" applyFont="1">
      <alignment vertical="center"/>
    </xf>
    <xf numFmtId="0" fontId="0" fillId="0" borderId="0" xfId="0" applyAlignment="1">
      <alignment horizontal="right" vertical="top"/>
    </xf>
    <xf numFmtId="0" fontId="0" fillId="0" borderId="0" xfId="0" applyAlignment="1">
      <alignment horizontal="left" vertical="center"/>
    </xf>
    <xf numFmtId="0" fontId="10" fillId="0" borderId="0" xfId="0" applyFont="1" applyAlignment="1">
      <alignment vertical="center"/>
    </xf>
    <xf numFmtId="181" fontId="8" fillId="0" borderId="29" xfId="0" applyNumberFormat="1" applyFont="1" applyBorder="1">
      <alignment vertical="center"/>
    </xf>
    <xf numFmtId="181" fontId="8" fillId="0" borderId="33" xfId="0" applyNumberFormat="1" applyFont="1" applyBorder="1">
      <alignment vertical="center"/>
    </xf>
    <xf numFmtId="181" fontId="8" fillId="0" borderId="25" xfId="0" applyNumberFormat="1" applyFont="1" applyBorder="1">
      <alignment vertical="center"/>
    </xf>
    <xf numFmtId="0" fontId="9" fillId="0" borderId="0" xfId="0" applyFont="1" applyBorder="1" applyAlignment="1">
      <alignment horizontal="right" vertical="center"/>
    </xf>
    <xf numFmtId="0" fontId="23" fillId="0" borderId="0" xfId="3" applyFont="1" applyAlignment="1">
      <alignment vertical="center"/>
    </xf>
    <xf numFmtId="0" fontId="8" fillId="0" borderId="0" xfId="0" applyFont="1" applyAlignment="1">
      <alignment vertical="center"/>
    </xf>
    <xf numFmtId="0" fontId="18" fillId="0" borderId="0" xfId="0" applyFont="1" applyAlignment="1">
      <alignment vertical="top" wrapText="1"/>
    </xf>
    <xf numFmtId="0" fontId="21" fillId="0" borderId="22" xfId="0" applyFont="1" applyBorder="1" applyAlignment="1">
      <alignment vertical="top" textRotation="180"/>
    </xf>
    <xf numFmtId="0" fontId="26" fillId="0" borderId="22" xfId="0" applyFont="1" applyFill="1" applyBorder="1" applyAlignment="1">
      <alignment horizontal="right" vertical="top" textRotation="180"/>
    </xf>
    <xf numFmtId="181" fontId="27" fillId="0" borderId="29" xfId="0" applyNumberFormat="1" applyFont="1" applyBorder="1">
      <alignment vertical="center"/>
    </xf>
    <xf numFmtId="181" fontId="27" fillId="0" borderId="29" xfId="0" applyNumberFormat="1" applyFont="1" applyBorder="1" applyAlignment="1">
      <alignment horizontal="left" vertical="center"/>
    </xf>
    <xf numFmtId="181" fontId="27" fillId="0" borderId="34" xfId="0" applyNumberFormat="1" applyFont="1" applyBorder="1" applyAlignment="1">
      <alignment horizontal="center" vertical="center"/>
    </xf>
    <xf numFmtId="180" fontId="33" fillId="0" borderId="8" xfId="0" applyNumberFormat="1" applyFont="1" applyBorder="1" applyAlignment="1">
      <alignment vertical="center"/>
    </xf>
    <xf numFmtId="180" fontId="33" fillId="0" borderId="11" xfId="0" applyNumberFormat="1" applyFont="1" applyBorder="1" applyAlignment="1">
      <alignment vertical="center"/>
    </xf>
    <xf numFmtId="0" fontId="0" fillId="0" borderId="11" xfId="0" applyBorder="1">
      <alignment vertical="center"/>
    </xf>
    <xf numFmtId="0" fontId="18" fillId="0" borderId="0" xfId="0" applyFont="1" applyBorder="1">
      <alignment vertical="center"/>
    </xf>
    <xf numFmtId="0" fontId="8" fillId="0" borderId="47" xfId="0" applyFont="1" applyBorder="1">
      <alignment vertical="center"/>
    </xf>
    <xf numFmtId="0" fontId="0" fillId="0" borderId="0" xfId="0" applyAlignment="1">
      <alignment horizontal="right" vertical="center"/>
    </xf>
    <xf numFmtId="0" fontId="34" fillId="0" borderId="0" xfId="0" applyNumberFormat="1" applyFont="1">
      <alignment vertical="center"/>
    </xf>
    <xf numFmtId="0" fontId="9" fillId="0" borderId="0" xfId="0" applyFont="1" applyBorder="1" applyAlignment="1">
      <alignment horizontal="left" vertical="center"/>
    </xf>
    <xf numFmtId="0" fontId="9" fillId="0" borderId="0" xfId="0" applyFont="1" applyBorder="1" applyAlignment="1">
      <alignment horizontal="center" vertical="center"/>
    </xf>
    <xf numFmtId="0" fontId="16" fillId="0" borderId="5" xfId="0" applyFont="1" applyBorder="1" applyAlignment="1">
      <alignment horizontal="right" vertical="center" wrapText="1"/>
    </xf>
    <xf numFmtId="178" fontId="9" fillId="0" borderId="0" xfId="0" applyNumberFormat="1" applyFont="1" applyBorder="1" applyAlignment="1">
      <alignment horizontal="left" vertical="center"/>
    </xf>
    <xf numFmtId="0" fontId="35" fillId="0" borderId="19" xfId="0" applyFont="1" applyBorder="1" applyAlignment="1">
      <alignment vertical="center"/>
    </xf>
    <xf numFmtId="0" fontId="35" fillId="0" borderId="0" xfId="0" applyFont="1" applyBorder="1" applyAlignment="1">
      <alignment vertical="center"/>
    </xf>
    <xf numFmtId="179" fontId="9" fillId="0" borderId="10" xfId="4" applyNumberFormat="1" applyFont="1" applyBorder="1" applyAlignment="1">
      <alignment vertical="center" wrapText="1"/>
    </xf>
    <xf numFmtId="38" fontId="9" fillId="0" borderId="43" xfId="4" applyFont="1" applyBorder="1" applyAlignment="1">
      <alignment vertical="center" wrapText="1"/>
    </xf>
    <xf numFmtId="38" fontId="9" fillId="0" borderId="22" xfId="0" applyNumberFormat="1" applyFont="1" applyBorder="1" applyAlignment="1">
      <alignment vertical="center"/>
    </xf>
    <xf numFmtId="0" fontId="22" fillId="0" borderId="21" xfId="0" applyFont="1" applyBorder="1" applyAlignment="1">
      <alignment horizontal="center" vertical="center"/>
    </xf>
    <xf numFmtId="0" fontId="22" fillId="5" borderId="48" xfId="0" applyFont="1" applyFill="1" applyBorder="1" applyAlignment="1">
      <alignment horizontal="center" vertical="center"/>
    </xf>
    <xf numFmtId="38" fontId="9" fillId="5" borderId="5" xfId="0" applyNumberFormat="1" applyFont="1" applyFill="1" applyBorder="1" applyAlignment="1">
      <alignment vertical="center"/>
    </xf>
    <xf numFmtId="38" fontId="9" fillId="5" borderId="7" xfId="0" applyNumberFormat="1" applyFont="1" applyFill="1" applyBorder="1" applyAlignment="1">
      <alignment vertical="center"/>
    </xf>
    <xf numFmtId="0" fontId="22" fillId="5" borderId="39" xfId="0" applyFont="1" applyFill="1" applyBorder="1" applyAlignment="1">
      <alignment horizontal="center" vertical="center"/>
    </xf>
    <xf numFmtId="38" fontId="9" fillId="5" borderId="40" xfId="0" applyNumberFormat="1" applyFont="1" applyFill="1" applyBorder="1" applyAlignment="1">
      <alignment vertical="center"/>
    </xf>
    <xf numFmtId="38" fontId="9" fillId="5" borderId="41" xfId="0" applyNumberFormat="1" applyFont="1" applyFill="1" applyBorder="1" applyAlignment="1">
      <alignment vertical="center"/>
    </xf>
    <xf numFmtId="0" fontId="22" fillId="5" borderId="38" xfId="0" applyFont="1" applyFill="1" applyBorder="1" applyAlignment="1">
      <alignment horizontal="center" vertical="center"/>
    </xf>
    <xf numFmtId="38" fontId="9" fillId="5" borderId="0" xfId="0" applyNumberFormat="1" applyFont="1" applyFill="1" applyBorder="1" applyAlignment="1">
      <alignment vertical="center"/>
    </xf>
    <xf numFmtId="38" fontId="9" fillId="5" borderId="10" xfId="0" applyNumberFormat="1" applyFont="1" applyFill="1" applyBorder="1" applyAlignment="1">
      <alignment vertical="center"/>
    </xf>
    <xf numFmtId="0" fontId="0" fillId="0" borderId="49" xfId="0" applyBorder="1">
      <alignment vertical="center"/>
    </xf>
    <xf numFmtId="0" fontId="0" fillId="0" borderId="50" xfId="0" applyBorder="1">
      <alignment vertical="center"/>
    </xf>
    <xf numFmtId="0" fontId="0" fillId="0" borderId="52" xfId="0" applyBorder="1">
      <alignment vertical="center"/>
    </xf>
    <xf numFmtId="182" fontId="0" fillId="0" borderId="22" xfId="0" applyNumberFormat="1" applyBorder="1" applyAlignment="1">
      <alignment horizontal="center" vertical="center"/>
    </xf>
    <xf numFmtId="183" fontId="0" fillId="0" borderId="22" xfId="0" applyNumberFormat="1" applyBorder="1">
      <alignment vertical="center"/>
    </xf>
    <xf numFmtId="183" fontId="0" fillId="0" borderId="26" xfId="0" applyNumberFormat="1" applyBorder="1">
      <alignment vertical="center"/>
    </xf>
    <xf numFmtId="183" fontId="0" fillId="0" borderId="21" xfId="0" applyNumberFormat="1" applyBorder="1">
      <alignment vertical="center"/>
    </xf>
    <xf numFmtId="0" fontId="0" fillId="5" borderId="52" xfId="0" applyFill="1" applyBorder="1">
      <alignment vertical="center"/>
    </xf>
    <xf numFmtId="0" fontId="0" fillId="5" borderId="22" xfId="0" applyFill="1" applyBorder="1">
      <alignment vertical="center"/>
    </xf>
    <xf numFmtId="0" fontId="0" fillId="5" borderId="53" xfId="0" applyFill="1" applyBorder="1">
      <alignment vertical="center"/>
    </xf>
    <xf numFmtId="0" fontId="0" fillId="5" borderId="26" xfId="0" applyFill="1" applyBorder="1">
      <alignment vertical="center"/>
    </xf>
    <xf numFmtId="182" fontId="0" fillId="5" borderId="50" xfId="0" applyNumberFormat="1" applyFill="1" applyBorder="1" applyAlignment="1">
      <alignment horizontal="center" vertical="center"/>
    </xf>
    <xf numFmtId="182" fontId="0" fillId="5" borderId="27" xfId="0" applyNumberFormat="1" applyFill="1" applyBorder="1" applyAlignment="1">
      <alignment horizontal="center" vertical="center"/>
    </xf>
    <xf numFmtId="182" fontId="0" fillId="5" borderId="51" xfId="0" applyNumberFormat="1" applyFill="1" applyBorder="1" applyAlignment="1">
      <alignment horizontal="center" vertical="center"/>
    </xf>
    <xf numFmtId="183" fontId="0" fillId="0" borderId="25" xfId="0" applyNumberFormat="1" applyBorder="1">
      <alignment vertical="center"/>
    </xf>
    <xf numFmtId="183" fontId="0" fillId="0" borderId="40" xfId="0" applyNumberFormat="1" applyBorder="1">
      <alignment vertical="center"/>
    </xf>
    <xf numFmtId="182" fontId="0" fillId="5" borderId="22" xfId="0" applyNumberFormat="1" applyFill="1" applyBorder="1" applyAlignment="1">
      <alignment horizontal="center" vertical="center"/>
    </xf>
    <xf numFmtId="182" fontId="0" fillId="5" borderId="23" xfId="0" applyNumberFormat="1" applyFill="1" applyBorder="1" applyAlignment="1">
      <alignment horizontal="center" vertical="center"/>
    </xf>
    <xf numFmtId="183" fontId="0" fillId="0" borderId="39" xfId="0" applyNumberFormat="1" applyBorder="1">
      <alignment vertical="center"/>
    </xf>
    <xf numFmtId="183" fontId="0" fillId="0" borderId="41" xfId="0" applyNumberFormat="1" applyBorder="1">
      <alignment vertical="center"/>
    </xf>
    <xf numFmtId="0" fontId="0" fillId="0" borderId="12" xfId="0" applyBorder="1">
      <alignment vertical="center"/>
    </xf>
    <xf numFmtId="0" fontId="16" fillId="0" borderId="0" xfId="0" applyFont="1" applyBorder="1" applyAlignment="1">
      <alignment horizontal="right" vertical="center" wrapText="1"/>
    </xf>
    <xf numFmtId="0" fontId="16" fillId="0" borderId="0" xfId="0" applyFont="1" applyBorder="1" applyAlignment="1">
      <alignment vertical="center" wrapText="1"/>
    </xf>
    <xf numFmtId="49" fontId="0" fillId="0" borderId="0" xfId="0" applyNumberFormat="1">
      <alignment vertical="center"/>
    </xf>
    <xf numFmtId="184" fontId="3" fillId="2" borderId="1" xfId="2" applyNumberFormat="1" applyProtection="1">
      <alignment horizontal="center" vertical="center"/>
      <protection locked="0"/>
    </xf>
    <xf numFmtId="185" fontId="0" fillId="0" borderId="0" xfId="0" applyNumberFormat="1">
      <alignment vertical="center"/>
    </xf>
    <xf numFmtId="184" fontId="12" fillId="3" borderId="1" xfId="2" applyNumberFormat="1" applyFont="1" applyFill="1">
      <alignment horizontal="center" vertical="center"/>
      <protection locked="0"/>
    </xf>
    <xf numFmtId="0" fontId="0" fillId="0" borderId="0" xfId="0" applyAlignment="1">
      <alignment horizontal="left" vertical="center"/>
    </xf>
    <xf numFmtId="0" fontId="29" fillId="0" borderId="0" xfId="0" applyFont="1" applyAlignment="1"/>
    <xf numFmtId="0" fontId="41" fillId="0" borderId="0" xfId="0" applyFont="1" applyAlignment="1">
      <alignment vertical="center"/>
    </xf>
    <xf numFmtId="0" fontId="42" fillId="0" borderId="0" xfId="0" applyFont="1" applyAlignment="1">
      <alignment vertical="center"/>
    </xf>
    <xf numFmtId="188" fontId="0" fillId="0" borderId="0" xfId="0" applyNumberFormat="1" applyAlignment="1">
      <alignment horizontal="left" vertical="center"/>
    </xf>
    <xf numFmtId="0" fontId="6" fillId="0" borderId="0" xfId="0" applyFont="1" applyAlignment="1">
      <alignment horizontal="center" vertical="center"/>
    </xf>
    <xf numFmtId="0" fontId="42" fillId="0" borderId="0" xfId="0" applyFont="1" applyAlignment="1">
      <alignment horizontal="right" vertical="center"/>
    </xf>
    <xf numFmtId="0" fontId="34" fillId="0" borderId="0" xfId="0" applyFont="1" applyAlignment="1">
      <alignment horizontal="right" vertical="center"/>
    </xf>
    <xf numFmtId="0" fontId="34" fillId="0" borderId="0" xfId="0" applyFont="1" applyAlignment="1">
      <alignment vertical="center"/>
    </xf>
    <xf numFmtId="0" fontId="34" fillId="0" borderId="0" xfId="0" applyFont="1">
      <alignment vertical="center"/>
    </xf>
    <xf numFmtId="0" fontId="17" fillId="0" borderId="0" xfId="0" applyFont="1" applyAlignment="1">
      <alignment horizontal="right" vertical="center"/>
    </xf>
    <xf numFmtId="0" fontId="0" fillId="0" borderId="0" xfId="0" applyAlignment="1">
      <alignment horizontal="center" vertical="center" wrapText="1"/>
    </xf>
    <xf numFmtId="0" fontId="47" fillId="0" borderId="0" xfId="0" applyFont="1" applyAlignment="1">
      <alignment vertical="center"/>
    </xf>
    <xf numFmtId="0" fontId="17" fillId="0" borderId="0" xfId="0" applyFont="1" applyAlignment="1">
      <alignment horizontal="center" vertical="center"/>
    </xf>
    <xf numFmtId="0" fontId="33" fillId="0" borderId="56" xfId="0" applyFont="1" applyBorder="1" applyAlignment="1">
      <alignment horizontal="center" vertical="center"/>
    </xf>
    <xf numFmtId="0" fontId="45" fillId="0" borderId="63" xfId="0" applyFont="1" applyBorder="1">
      <alignment vertical="center"/>
    </xf>
    <xf numFmtId="0" fontId="45" fillId="0" borderId="64" xfId="0" applyFont="1" applyBorder="1">
      <alignment vertical="center"/>
    </xf>
    <xf numFmtId="0" fontId="45" fillId="0" borderId="64" xfId="0" applyFont="1" applyBorder="1" applyAlignment="1">
      <alignment horizontal="right" vertical="center"/>
    </xf>
    <xf numFmtId="0" fontId="8" fillId="0" borderId="0" xfId="0" applyFont="1" applyAlignment="1">
      <alignment horizontal="right" vertical="top"/>
    </xf>
    <xf numFmtId="0" fontId="45" fillId="0" borderId="57" xfId="0" applyFont="1" applyBorder="1" applyAlignment="1">
      <alignment horizontal="right" vertical="center"/>
    </xf>
    <xf numFmtId="0" fontId="45" fillId="0" borderId="66" xfId="0" applyFont="1" applyBorder="1" applyAlignment="1">
      <alignment horizontal="right" vertical="center"/>
    </xf>
    <xf numFmtId="0" fontId="45" fillId="0" borderId="66" xfId="0" applyFont="1" applyBorder="1">
      <alignment vertical="center"/>
    </xf>
    <xf numFmtId="0" fontId="45" fillId="0" borderId="0" xfId="0" applyFont="1" applyBorder="1">
      <alignment vertical="center"/>
    </xf>
    <xf numFmtId="176" fontId="45" fillId="0" borderId="0" xfId="0" applyNumberFormat="1" applyFont="1" applyBorder="1">
      <alignment vertical="center"/>
    </xf>
    <xf numFmtId="0" fontId="45" fillId="0" borderId="67" xfId="0" applyFont="1" applyBorder="1">
      <alignment vertical="center"/>
    </xf>
    <xf numFmtId="0" fontId="45" fillId="0" borderId="0" xfId="0" applyFont="1" applyBorder="1" applyAlignment="1">
      <alignment vertical="center"/>
    </xf>
    <xf numFmtId="0" fontId="45" fillId="0" borderId="67" xfId="0" applyFont="1" applyBorder="1" applyAlignment="1">
      <alignment vertical="center"/>
    </xf>
    <xf numFmtId="176" fontId="45" fillId="0" borderId="0" xfId="0" applyNumberFormat="1" applyFont="1" applyBorder="1" applyAlignment="1">
      <alignment vertical="center"/>
    </xf>
    <xf numFmtId="0" fontId="45" fillId="0" borderId="60" xfId="0" applyFont="1" applyBorder="1">
      <alignment vertical="center"/>
    </xf>
    <xf numFmtId="0" fontId="45" fillId="0" borderId="61" xfId="0" applyFont="1" applyBorder="1">
      <alignment vertical="center"/>
    </xf>
    <xf numFmtId="0" fontId="45" fillId="0" borderId="61" xfId="0" applyFont="1" applyBorder="1" applyAlignment="1">
      <alignment vertical="center"/>
    </xf>
    <xf numFmtId="0" fontId="45" fillId="0" borderId="62" xfId="0" applyFont="1" applyBorder="1" applyAlignment="1">
      <alignment vertical="center"/>
    </xf>
    <xf numFmtId="38" fontId="45" fillId="0" borderId="68" xfId="4" applyFont="1" applyBorder="1" applyAlignment="1">
      <alignment horizontal="right" vertical="center" indent="1"/>
    </xf>
    <xf numFmtId="38" fontId="45" fillId="0" borderId="69" xfId="4" applyFont="1" applyBorder="1" applyAlignment="1">
      <alignment horizontal="right" vertical="center" indent="1"/>
    </xf>
    <xf numFmtId="0" fontId="45" fillId="0" borderId="69" xfId="0" applyFont="1" applyBorder="1" applyAlignment="1">
      <alignment horizontal="right" vertical="center" indent="1"/>
    </xf>
    <xf numFmtId="0" fontId="45" fillId="0" borderId="70" xfId="0" applyFont="1" applyBorder="1" applyAlignment="1">
      <alignment horizontal="right" vertical="center" indent="1"/>
    </xf>
    <xf numFmtId="0" fontId="45" fillId="0" borderId="68" xfId="0" applyFont="1" applyBorder="1" applyAlignment="1">
      <alignment horizontal="right" vertical="center" indent="1"/>
    </xf>
    <xf numFmtId="38" fontId="45" fillId="0" borderId="69" xfId="0" applyNumberFormat="1" applyFont="1" applyBorder="1" applyAlignment="1">
      <alignment horizontal="right" vertical="center" indent="1"/>
    </xf>
    <xf numFmtId="38" fontId="45" fillId="0" borderId="70" xfId="0" applyNumberFormat="1" applyFont="1" applyBorder="1" applyAlignment="1">
      <alignment horizontal="right" vertical="center" indent="1"/>
    </xf>
    <xf numFmtId="0" fontId="33" fillId="0" borderId="59" xfId="0" applyFont="1" applyBorder="1" applyAlignment="1">
      <alignment horizontal="center" vertical="center"/>
    </xf>
    <xf numFmtId="0" fontId="33" fillId="0" borderId="68" xfId="0" applyFont="1" applyBorder="1" applyAlignment="1">
      <alignment horizontal="center" vertical="center"/>
    </xf>
    <xf numFmtId="38" fontId="45" fillId="0" borderId="68" xfId="4" applyFont="1" applyBorder="1" applyAlignment="1">
      <alignment horizontal="center" vertical="center"/>
    </xf>
    <xf numFmtId="0" fontId="34" fillId="0" borderId="58" xfId="0" applyFont="1" applyBorder="1" applyAlignment="1">
      <alignment horizontal="left" vertical="center"/>
    </xf>
    <xf numFmtId="0" fontId="34" fillId="0" borderId="66" xfId="0" applyFont="1" applyBorder="1">
      <alignment vertical="center"/>
    </xf>
    <xf numFmtId="0" fontId="33" fillId="0" borderId="66" xfId="0" applyFont="1" applyBorder="1">
      <alignment vertical="center"/>
    </xf>
    <xf numFmtId="0" fontId="45" fillId="0" borderId="67" xfId="0" applyFont="1" applyBorder="1" applyAlignment="1">
      <alignment horizontal="right" vertical="center"/>
    </xf>
    <xf numFmtId="0" fontId="45" fillId="0" borderId="0" xfId="0" applyNumberFormat="1" applyFont="1" applyAlignment="1">
      <alignment horizontal="left" vertical="center"/>
    </xf>
    <xf numFmtId="0" fontId="45" fillId="0" borderId="0" xfId="0" applyFont="1" applyAlignment="1">
      <alignment vertical="top" wrapText="1"/>
    </xf>
    <xf numFmtId="0" fontId="45" fillId="0" borderId="0" xfId="0" applyFont="1" applyAlignment="1">
      <alignment horizontal="left" vertical="top" wrapText="1"/>
    </xf>
    <xf numFmtId="0" fontId="17" fillId="0" borderId="0" xfId="0" applyFont="1" applyAlignment="1">
      <alignment horizontal="right" vertical="top"/>
    </xf>
    <xf numFmtId="38" fontId="45" fillId="0" borderId="67" xfId="4" applyFont="1" applyBorder="1" applyAlignment="1">
      <alignment horizontal="right" vertical="center"/>
    </xf>
    <xf numFmtId="0" fontId="44" fillId="7" borderId="55" xfId="7" applyProtection="1">
      <alignment vertical="center"/>
      <protection locked="0"/>
    </xf>
    <xf numFmtId="0" fontId="44" fillId="7" borderId="55" xfId="7" applyAlignment="1" applyProtection="1">
      <alignment vertical="center" wrapText="1"/>
      <protection locked="0"/>
    </xf>
    <xf numFmtId="0" fontId="0" fillId="0" borderId="0" xfId="0" applyAlignment="1">
      <alignment horizontal="center" vertical="center"/>
    </xf>
    <xf numFmtId="181" fontId="8" fillId="0" borderId="10" xfId="0" applyNumberFormat="1" applyFont="1" applyBorder="1" applyAlignment="1">
      <alignment horizontal="left" vertical="center"/>
    </xf>
    <xf numFmtId="181" fontId="8" fillId="0" borderId="30" xfId="0" applyNumberFormat="1" applyFont="1" applyBorder="1" applyAlignment="1">
      <alignment horizontal="left" vertical="center"/>
    </xf>
    <xf numFmtId="0" fontId="50" fillId="0" borderId="0" xfId="0" applyFont="1">
      <alignment vertical="center"/>
    </xf>
    <xf numFmtId="0" fontId="0" fillId="0" borderId="71" xfId="0" applyBorder="1">
      <alignment vertical="center"/>
    </xf>
    <xf numFmtId="38" fontId="9" fillId="0" borderId="72" xfId="4" applyFont="1" applyBorder="1" applyAlignment="1">
      <alignment vertical="center" wrapText="1"/>
    </xf>
    <xf numFmtId="14" fontId="0" fillId="0" borderId="0" xfId="0" applyNumberFormat="1">
      <alignment vertical="center"/>
    </xf>
    <xf numFmtId="49" fontId="53" fillId="0" borderId="0" xfId="0" applyNumberFormat="1" applyFont="1">
      <alignment vertical="center"/>
    </xf>
    <xf numFmtId="0" fontId="53" fillId="0" borderId="0" xfId="0" applyFont="1">
      <alignment vertical="center"/>
    </xf>
    <xf numFmtId="0" fontId="54" fillId="0" borderId="0" xfId="0" applyFont="1">
      <alignment vertical="center"/>
    </xf>
    <xf numFmtId="0" fontId="55" fillId="0" borderId="0" xfId="0" applyFont="1">
      <alignment vertical="center"/>
    </xf>
    <xf numFmtId="0" fontId="7" fillId="3" borderId="0" xfId="5" applyFill="1" applyAlignment="1">
      <alignment vertical="center"/>
    </xf>
    <xf numFmtId="0" fontId="0" fillId="0" borderId="0" xfId="0" applyNumberFormat="1">
      <alignment vertical="center"/>
    </xf>
    <xf numFmtId="0" fontId="0" fillId="0" borderId="0" xfId="0" applyAlignment="1">
      <alignment vertical="top" wrapText="1"/>
    </xf>
    <xf numFmtId="0" fontId="7" fillId="0" borderId="0" xfId="5">
      <alignment vertical="center"/>
    </xf>
    <xf numFmtId="49" fontId="3" fillId="2" borderId="1" xfId="2" applyProtection="1">
      <alignment horizontal="center" vertical="center"/>
      <protection locked="0"/>
    </xf>
    <xf numFmtId="0" fontId="0" fillId="0" borderId="0" xfId="0" applyAlignment="1">
      <alignment horizontal="left" vertical="center"/>
    </xf>
    <xf numFmtId="0" fontId="4" fillId="0" borderId="0" xfId="3" applyAlignment="1">
      <alignment horizontal="left" vertical="center"/>
    </xf>
    <xf numFmtId="0" fontId="0" fillId="0" borderId="0" xfId="0" applyAlignment="1">
      <alignment horizontal="left" vertical="center" wrapText="1"/>
    </xf>
    <xf numFmtId="0" fontId="7" fillId="3" borderId="0" xfId="5" applyFill="1" applyAlignment="1">
      <alignment horizontal="center" vertical="center"/>
    </xf>
    <xf numFmtId="0" fontId="0" fillId="0" borderId="0" xfId="0" applyAlignment="1">
      <alignment horizontal="left" vertical="center"/>
    </xf>
    <xf numFmtId="0" fontId="51" fillId="0" borderId="0" xfId="5" applyFont="1" applyAlignment="1">
      <alignment horizontal="left" vertical="center"/>
    </xf>
    <xf numFmtId="0" fontId="52" fillId="0" borderId="0" xfId="5" applyFont="1" applyAlignment="1">
      <alignment horizontal="left" vertical="center"/>
    </xf>
    <xf numFmtId="0" fontId="0" fillId="3" borderId="0" xfId="0" applyFill="1" applyAlignment="1">
      <alignment horizontal="center" vertical="center"/>
    </xf>
    <xf numFmtId="0" fontId="7" fillId="0" borderId="0" xfId="5" applyAlignment="1">
      <alignment horizontal="left" vertical="center" wrapText="1"/>
    </xf>
    <xf numFmtId="0" fontId="4" fillId="0" borderId="0" xfId="3" applyAlignment="1">
      <alignment horizontal="left" vertical="center"/>
    </xf>
    <xf numFmtId="49" fontId="3" fillId="2" borderId="1" xfId="2" applyProtection="1">
      <alignment horizontal="center" vertical="center"/>
      <protection locked="0"/>
    </xf>
    <xf numFmtId="49" fontId="3" fillId="2" borderId="1" xfId="2" applyAlignment="1" applyProtection="1">
      <alignment horizontal="center" vertical="center" wrapText="1"/>
      <protection locked="0"/>
    </xf>
    <xf numFmtId="49" fontId="28" fillId="2" borderId="1" xfId="2" applyFont="1" applyAlignment="1" applyProtection="1">
      <alignment horizontal="left" vertical="center" wrapText="1"/>
      <protection locked="0"/>
    </xf>
    <xf numFmtId="49" fontId="7" fillId="2" borderId="1" xfId="5" applyNumberFormat="1" applyFill="1" applyBorder="1" applyAlignment="1" applyProtection="1">
      <alignment horizontal="center" vertical="center"/>
      <protection locked="0"/>
    </xf>
    <xf numFmtId="49" fontId="3" fillId="2" borderId="2" xfId="2" applyNumberFormat="1" applyBorder="1" applyAlignment="1" applyProtection="1">
      <alignment horizontal="center" vertical="center"/>
      <protection locked="0"/>
    </xf>
    <xf numFmtId="49" fontId="3" fillId="2" borderId="4" xfId="2" applyNumberFormat="1" applyBorder="1" applyAlignment="1" applyProtection="1">
      <alignment horizontal="center" vertical="center"/>
      <protection locked="0"/>
    </xf>
    <xf numFmtId="49" fontId="3" fillId="2" borderId="3" xfId="2" applyNumberFormat="1" applyBorder="1" applyAlignment="1" applyProtection="1">
      <alignment horizontal="center" vertical="center"/>
      <protection locked="0"/>
    </xf>
    <xf numFmtId="49" fontId="3" fillId="2" borderId="1" xfId="2" applyAlignment="1" applyProtection="1">
      <alignment horizontal="left" vertical="center" wrapText="1"/>
      <protection locked="0"/>
    </xf>
    <xf numFmtId="49" fontId="3" fillId="2" borderId="1" xfId="2" applyNumberFormat="1" applyProtection="1">
      <alignment horizontal="center" vertical="center"/>
      <protection locked="0"/>
    </xf>
    <xf numFmtId="49" fontId="3" fillId="2" borderId="1" xfId="2">
      <alignment horizontal="center" vertical="center"/>
      <protection locked="0"/>
    </xf>
    <xf numFmtId="0" fontId="3" fillId="2" borderId="2" xfId="1" applyFont="1" applyBorder="1" applyAlignment="1" applyProtection="1">
      <alignment horizontal="center" vertical="center"/>
      <protection locked="0"/>
    </xf>
    <xf numFmtId="0" fontId="3" fillId="2" borderId="3" xfId="1" applyFont="1" applyBorder="1" applyAlignment="1" applyProtection="1">
      <alignment horizontal="center" vertical="center"/>
      <protection locked="0"/>
    </xf>
    <xf numFmtId="14" fontId="3" fillId="2" borderId="1" xfId="2" applyNumberFormat="1" applyProtection="1">
      <alignment horizontal="center" vertical="center"/>
      <protection locked="0"/>
    </xf>
    <xf numFmtId="49" fontId="31" fillId="2" borderId="1" xfId="2" applyFont="1" applyAlignment="1" applyProtection="1">
      <alignment horizontal="left" vertical="center" wrapText="1"/>
      <protection locked="0"/>
    </xf>
    <xf numFmtId="49" fontId="32" fillId="2" borderId="1" xfId="2" applyFont="1" applyAlignment="1" applyProtection="1">
      <alignment horizontal="left" vertical="center" wrapText="1"/>
      <protection locked="0"/>
    </xf>
    <xf numFmtId="0" fontId="10" fillId="0" borderId="0" xfId="0" applyFont="1" applyAlignment="1">
      <alignment vertical="center"/>
    </xf>
    <xf numFmtId="42" fontId="6" fillId="0" borderId="0" xfId="0" applyNumberFormat="1" applyFont="1" applyAlignment="1">
      <alignment horizontal="center" vertical="center"/>
    </xf>
    <xf numFmtId="0" fontId="56" fillId="0" borderId="0" xfId="0" applyFont="1" applyAlignment="1">
      <alignment horizontal="left" vertical="center"/>
    </xf>
    <xf numFmtId="0" fontId="6" fillId="0" borderId="0" xfId="0" applyFont="1" applyAlignment="1">
      <alignment horizontal="left" vertical="top" wrapText="1"/>
    </xf>
    <xf numFmtId="0" fontId="0" fillId="0" borderId="0" xfId="0" applyAlignment="1">
      <alignment horizontal="left" vertical="top" wrapText="1"/>
    </xf>
    <xf numFmtId="0" fontId="18" fillId="0" borderId="19" xfId="0" applyFont="1" applyBorder="1" applyAlignment="1">
      <alignment horizontal="center" vertical="top"/>
    </xf>
    <xf numFmtId="0" fontId="18" fillId="0" borderId="0" xfId="0" applyFont="1" applyBorder="1" applyAlignment="1">
      <alignment horizontal="center" vertical="top"/>
    </xf>
    <xf numFmtId="179" fontId="37" fillId="0" borderId="10" xfId="0" applyNumberFormat="1" applyFont="1" applyBorder="1" applyAlignment="1">
      <alignment horizontal="right" vertical="top"/>
    </xf>
    <xf numFmtId="179" fontId="37" fillId="0" borderId="44" xfId="0" applyNumberFormat="1" applyFont="1" applyBorder="1" applyAlignment="1">
      <alignment horizontal="right" vertical="top"/>
    </xf>
    <xf numFmtId="0" fontId="35" fillId="0" borderId="0" xfId="0" applyFont="1" applyBorder="1" applyAlignment="1">
      <alignment horizontal="left" vertical="top" wrapText="1"/>
    </xf>
    <xf numFmtId="176" fontId="35" fillId="0" borderId="18" xfId="0" applyNumberFormat="1" applyFont="1" applyBorder="1" applyAlignment="1">
      <alignment horizontal="left" vertical="top" wrapText="1"/>
    </xf>
    <xf numFmtId="0" fontId="16" fillId="0" borderId="0" xfId="0" applyFont="1" applyAlignment="1">
      <alignment horizontal="left" vertical="center"/>
    </xf>
    <xf numFmtId="0" fontId="25" fillId="6" borderId="15" xfId="0" applyFont="1" applyFill="1" applyBorder="1" applyAlignment="1">
      <alignment horizontal="right" vertical="top" textRotation="180" wrapText="1"/>
    </xf>
    <xf numFmtId="0" fontId="25" fillId="6" borderId="16" xfId="0" applyFont="1" applyFill="1" applyBorder="1" applyAlignment="1">
      <alignment horizontal="right" vertical="top" textRotation="180" wrapText="1"/>
    </xf>
    <xf numFmtId="0" fontId="25" fillId="6" borderId="17" xfId="0" applyFont="1" applyFill="1" applyBorder="1" applyAlignment="1">
      <alignment horizontal="right" vertical="top" textRotation="180" wrapText="1"/>
    </xf>
    <xf numFmtId="176" fontId="35" fillId="0" borderId="5" xfId="0" applyNumberFormat="1" applyFont="1" applyBorder="1" applyAlignment="1">
      <alignment horizontal="left" vertical="top" wrapText="1"/>
    </xf>
    <xf numFmtId="179" fontId="37" fillId="0" borderId="7" xfId="0" applyNumberFormat="1" applyFont="1" applyBorder="1" applyAlignment="1">
      <alignment horizontal="right" vertical="top"/>
    </xf>
    <xf numFmtId="181" fontId="16" fillId="0" borderId="20" xfId="0" applyNumberFormat="1" applyFont="1" applyBorder="1" applyAlignment="1">
      <alignment horizontal="left" vertical="center"/>
    </xf>
    <xf numFmtId="181" fontId="16" fillId="0" borderId="24" xfId="0" applyNumberFormat="1" applyFont="1" applyBorder="1" applyAlignment="1">
      <alignment horizontal="left" vertical="center"/>
    </xf>
    <xf numFmtId="181" fontId="29" fillId="0" borderId="22" xfId="0" applyNumberFormat="1" applyFont="1" applyBorder="1" applyAlignment="1">
      <alignment horizontal="left" vertical="center" wrapText="1"/>
    </xf>
    <xf numFmtId="181" fontId="29" fillId="0" borderId="25" xfId="0" applyNumberFormat="1" applyFont="1" applyBorder="1" applyAlignment="1">
      <alignment horizontal="left" vertical="center" wrapText="1"/>
    </xf>
    <xf numFmtId="181" fontId="8" fillId="0" borderId="23" xfId="0" applyNumberFormat="1" applyFont="1" applyBorder="1" applyAlignment="1">
      <alignment horizontal="center" vertical="center"/>
    </xf>
    <xf numFmtId="181" fontId="8" fillId="0" borderId="20" xfId="0" applyNumberFormat="1" applyFont="1" applyBorder="1" applyAlignment="1">
      <alignment horizontal="center" vertical="center"/>
    </xf>
    <xf numFmtId="0" fontId="22" fillId="0" borderId="45" xfId="0" applyFont="1" applyBorder="1" applyAlignment="1">
      <alignment horizontal="center" vertical="center"/>
    </xf>
    <xf numFmtId="0" fontId="22" fillId="0" borderId="26" xfId="0" applyFont="1" applyBorder="1" applyAlignment="1">
      <alignment horizontal="center" vertical="center"/>
    </xf>
    <xf numFmtId="42" fontId="10" fillId="0" borderId="26" xfId="0" applyNumberFormat="1" applyFont="1" applyBorder="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18" fillId="0" borderId="46" xfId="0" applyFont="1" applyBorder="1" applyAlignment="1">
      <alignment horizontal="left" vertical="center"/>
    </xf>
    <xf numFmtId="0" fontId="18" fillId="0" borderId="8" xfId="0" applyFont="1" applyBorder="1" applyAlignment="1">
      <alignment horizontal="left" vertical="center"/>
    </xf>
    <xf numFmtId="180" fontId="17" fillId="0" borderId="8" xfId="0" applyNumberFormat="1" applyFont="1" applyBorder="1" applyAlignment="1">
      <alignment horizontal="right" vertical="center"/>
    </xf>
    <xf numFmtId="180" fontId="17" fillId="0" borderId="9" xfId="0" applyNumberFormat="1" applyFont="1" applyBorder="1" applyAlignment="1">
      <alignment horizontal="right" vertical="center"/>
    </xf>
    <xf numFmtId="0" fontId="36" fillId="0" borderId="18" xfId="0" applyFont="1" applyBorder="1" applyAlignment="1">
      <alignment horizontal="left" vertical="center" wrapText="1"/>
    </xf>
    <xf numFmtId="0" fontId="36" fillId="0" borderId="44" xfId="0" applyFont="1" applyBorder="1" applyAlignment="1">
      <alignment horizontal="left" vertical="center" wrapText="1"/>
    </xf>
    <xf numFmtId="181" fontId="8" fillId="0" borderId="29" xfId="0" applyNumberFormat="1" applyFont="1" applyBorder="1" applyAlignment="1">
      <alignment horizontal="center" vertical="top"/>
    </xf>
    <xf numFmtId="181" fontId="8" fillId="0" borderId="33" xfId="0" applyNumberFormat="1" applyFont="1" applyBorder="1" applyAlignment="1">
      <alignment horizontal="center" vertical="top"/>
    </xf>
    <xf numFmtId="181" fontId="8" fillId="0" borderId="34" xfId="0" applyNumberFormat="1" applyFont="1" applyBorder="1" applyAlignment="1">
      <alignment horizontal="center" vertical="top"/>
    </xf>
    <xf numFmtId="181" fontId="8" fillId="0" borderId="30" xfId="0" applyNumberFormat="1" applyFont="1" applyBorder="1" applyAlignment="1">
      <alignment horizontal="center" vertical="top"/>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181" fontId="8" fillId="0" borderId="33" xfId="0" applyNumberFormat="1" applyFont="1" applyBorder="1" applyAlignment="1">
      <alignment horizontal="center" vertical="center"/>
    </xf>
    <xf numFmtId="181" fontId="8" fillId="0" borderId="36" xfId="0" applyNumberFormat="1" applyFont="1" applyBorder="1" applyAlignment="1">
      <alignment horizontal="center" vertical="center"/>
    </xf>
    <xf numFmtId="181" fontId="16" fillId="0" borderId="0" xfId="0" applyNumberFormat="1" applyFont="1" applyBorder="1" applyAlignment="1">
      <alignment horizontal="left" vertical="center" wrapText="1" shrinkToFit="1"/>
    </xf>
    <xf numFmtId="181" fontId="16" fillId="0" borderId="10" xfId="0" applyNumberFormat="1" applyFont="1" applyBorder="1" applyAlignment="1">
      <alignment horizontal="left" vertical="center" wrapText="1" shrinkToFit="1"/>
    </xf>
    <xf numFmtId="0" fontId="19" fillId="5" borderId="22" xfId="0" applyFont="1" applyFill="1" applyBorder="1" applyAlignment="1">
      <alignment horizontal="left" vertical="top" wrapText="1"/>
    </xf>
    <xf numFmtId="0" fontId="19" fillId="5" borderId="25" xfId="0" applyFont="1" applyFill="1" applyBorder="1" applyAlignment="1">
      <alignment horizontal="left" vertical="top" wrapText="1"/>
    </xf>
    <xf numFmtId="0" fontId="30" fillId="4" borderId="37" xfId="0" applyFont="1" applyFill="1" applyBorder="1" applyAlignment="1">
      <alignment horizontal="right" vertical="top" textRotation="180" wrapText="1"/>
    </xf>
    <xf numFmtId="0" fontId="30" fillId="4" borderId="42" xfId="0" applyFont="1" applyFill="1" applyBorder="1" applyAlignment="1">
      <alignment horizontal="right" vertical="top" textRotation="180" wrapText="1"/>
    </xf>
    <xf numFmtId="0" fontId="30" fillId="4" borderId="11" xfId="0" applyFont="1" applyFill="1" applyBorder="1" applyAlignment="1">
      <alignment horizontal="right" vertical="top" textRotation="180" wrapText="1"/>
    </xf>
    <xf numFmtId="0" fontId="30" fillId="4" borderId="31" xfId="0" applyFont="1" applyFill="1" applyBorder="1" applyAlignment="1">
      <alignment horizontal="right" vertical="top" textRotation="180" wrapText="1"/>
    </xf>
    <xf numFmtId="0" fontId="30" fillId="4" borderId="6" xfId="0" applyFont="1" applyFill="1" applyBorder="1" applyAlignment="1">
      <alignment horizontal="right" vertical="top" textRotation="180" wrapText="1"/>
    </xf>
    <xf numFmtId="0" fontId="30" fillId="4" borderId="28" xfId="0" applyFont="1" applyFill="1" applyBorder="1" applyAlignment="1">
      <alignment horizontal="right" vertical="top" textRotation="180" wrapText="1"/>
    </xf>
    <xf numFmtId="0" fontId="25" fillId="4" borderId="37" xfId="0" applyFont="1" applyFill="1" applyBorder="1" applyAlignment="1">
      <alignment horizontal="right" vertical="top" textRotation="180" wrapText="1"/>
    </xf>
    <xf numFmtId="0" fontId="25" fillId="4" borderId="42" xfId="0" applyFont="1" applyFill="1" applyBorder="1" applyAlignment="1">
      <alignment horizontal="right" vertical="top" textRotation="180" wrapText="1"/>
    </xf>
    <xf numFmtId="0" fontId="25" fillId="4" borderId="11" xfId="0" applyFont="1" applyFill="1" applyBorder="1" applyAlignment="1">
      <alignment horizontal="right" vertical="top" textRotation="180" wrapText="1"/>
    </xf>
    <xf numFmtId="0" fontId="25" fillId="4" borderId="31" xfId="0" applyFont="1" applyFill="1" applyBorder="1" applyAlignment="1">
      <alignment horizontal="right" vertical="top" textRotation="180" wrapText="1"/>
    </xf>
    <xf numFmtId="0" fontId="25" fillId="4" borderId="35" xfId="0" applyFont="1" applyFill="1" applyBorder="1" applyAlignment="1">
      <alignment horizontal="right" vertical="top" textRotation="180" wrapText="1"/>
    </xf>
    <xf numFmtId="0" fontId="25" fillId="4" borderId="33" xfId="0" applyFont="1" applyFill="1" applyBorder="1" applyAlignment="1">
      <alignment horizontal="right" vertical="top" textRotation="180" wrapText="1"/>
    </xf>
    <xf numFmtId="181" fontId="8" fillId="0" borderId="29" xfId="0" applyNumberFormat="1" applyFont="1" applyBorder="1" applyAlignment="1">
      <alignment horizontal="left" vertical="center" wrapText="1"/>
    </xf>
    <xf numFmtId="181" fontId="8" fillId="0" borderId="30" xfId="0" applyNumberFormat="1" applyFont="1" applyBorder="1" applyAlignment="1">
      <alignment horizontal="left" vertical="center" wrapText="1"/>
    </xf>
    <xf numFmtId="181" fontId="8" fillId="0" borderId="22" xfId="0" applyNumberFormat="1" applyFont="1" applyBorder="1" applyAlignment="1">
      <alignment horizontal="left" vertical="center"/>
    </xf>
    <xf numFmtId="181" fontId="8" fillId="0" borderId="25" xfId="0" applyNumberFormat="1" applyFont="1" applyBorder="1" applyAlignment="1">
      <alignment horizontal="left" vertical="center"/>
    </xf>
    <xf numFmtId="0" fontId="8" fillId="0" borderId="22" xfId="0" applyFont="1" applyBorder="1" applyAlignment="1">
      <alignment horizontal="left" vertical="center"/>
    </xf>
    <xf numFmtId="0" fontId="8" fillId="0" borderId="25" xfId="0" applyFont="1" applyBorder="1" applyAlignment="1">
      <alignment horizontal="left" vertical="center"/>
    </xf>
    <xf numFmtId="0" fontId="38" fillId="0" borderId="34" xfId="0" applyFont="1" applyBorder="1" applyAlignment="1">
      <alignment horizontal="center" vertical="center"/>
    </xf>
    <xf numFmtId="0" fontId="38" fillId="0" borderId="29" xfId="0" applyFont="1" applyBorder="1" applyAlignment="1">
      <alignment horizontal="center" vertical="center"/>
    </xf>
    <xf numFmtId="0" fontId="8" fillId="0" borderId="34"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0" xfId="0" applyFont="1" applyBorder="1" applyAlignment="1">
      <alignment horizontal="left" vertical="center"/>
    </xf>
    <xf numFmtId="0" fontId="8" fillId="0" borderId="23" xfId="0" applyFont="1" applyBorder="1" applyAlignment="1">
      <alignment horizontal="left" vertical="center"/>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29" xfId="0" applyFont="1" applyBorder="1" applyAlignment="1">
      <alignment horizontal="center" vertical="top"/>
    </xf>
    <xf numFmtId="0" fontId="8" fillId="0" borderId="34" xfId="0" applyFont="1" applyBorder="1" applyAlignment="1">
      <alignment horizontal="center" vertical="top"/>
    </xf>
    <xf numFmtId="0" fontId="8" fillId="0" borderId="33" xfId="0" applyFont="1" applyBorder="1" applyAlignment="1">
      <alignment horizontal="center" vertical="top"/>
    </xf>
    <xf numFmtId="0" fontId="38" fillId="0" borderId="33" xfId="0" applyFont="1" applyBorder="1" applyAlignment="1">
      <alignment horizontal="center" vertical="center"/>
    </xf>
    <xf numFmtId="49" fontId="8" fillId="0" borderId="34" xfId="0" applyNumberFormat="1" applyFont="1" applyBorder="1" applyAlignment="1">
      <alignment horizontal="center" vertical="top"/>
    </xf>
    <xf numFmtId="0" fontId="8" fillId="0" borderId="22" xfId="0" applyFont="1" applyBorder="1" applyAlignment="1">
      <alignment horizontal="left" vertical="center" wrapText="1"/>
    </xf>
    <xf numFmtId="0" fontId="8" fillId="0" borderId="25"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24" fillId="0" borderId="0" xfId="0" applyFont="1" applyAlignment="1">
      <alignment horizontal="center" vertical="center"/>
    </xf>
    <xf numFmtId="0" fontId="25" fillId="4" borderId="12" xfId="0" applyFont="1" applyFill="1" applyBorder="1" applyAlignment="1">
      <alignment horizontal="right" vertical="top" textRotation="180" wrapText="1"/>
    </xf>
    <xf numFmtId="0" fontId="25" fillId="4" borderId="32" xfId="0" applyFont="1" applyFill="1" applyBorder="1" applyAlignment="1">
      <alignment horizontal="right" vertical="top" textRotation="180" wrapText="1"/>
    </xf>
    <xf numFmtId="14" fontId="8" fillId="0" borderId="0" xfId="0" applyNumberFormat="1" applyFont="1" applyAlignment="1">
      <alignment horizontal="right" vertical="center"/>
    </xf>
    <xf numFmtId="0" fontId="43" fillId="0" borderId="5" xfId="0" applyFont="1" applyBorder="1" applyAlignment="1">
      <alignment horizontal="left" vertical="center" wrapText="1"/>
    </xf>
    <xf numFmtId="0" fontId="45"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41" fillId="0" borderId="0" xfId="0" applyFont="1" applyAlignment="1">
      <alignment horizontal="distributed" vertical="center"/>
    </xf>
    <xf numFmtId="0" fontId="42" fillId="0" borderId="0" xfId="0" applyFont="1" applyAlignment="1">
      <alignment horizontal="distributed" vertical="center"/>
    </xf>
    <xf numFmtId="0" fontId="8" fillId="0" borderId="0" xfId="0" applyFont="1" applyAlignment="1">
      <alignment horizontal="left" vertical="center" wrapText="1"/>
    </xf>
    <xf numFmtId="0" fontId="14" fillId="0" borderId="0" xfId="0" applyFont="1" applyBorder="1" applyAlignment="1">
      <alignment horizontal="center"/>
    </xf>
    <xf numFmtId="0" fontId="39" fillId="0" borderId="54" xfId="0" applyFont="1" applyBorder="1" applyAlignment="1">
      <alignment horizontal="center"/>
    </xf>
    <xf numFmtId="186" fontId="40" fillId="0" borderId="0" xfId="0" applyNumberFormat="1" applyFont="1" applyBorder="1" applyAlignment="1">
      <alignment horizontal="right"/>
    </xf>
    <xf numFmtId="186" fontId="40" fillId="0" borderId="54" xfId="0" applyNumberFormat="1" applyFont="1" applyBorder="1" applyAlignment="1">
      <alignment horizontal="right"/>
    </xf>
    <xf numFmtId="0" fontId="14" fillId="0" borderId="0" xfId="0" applyFont="1" applyBorder="1" applyAlignment="1">
      <alignment horizontal="left"/>
    </xf>
    <xf numFmtId="0" fontId="39" fillId="0" borderId="54" xfId="0" applyFont="1" applyBorder="1" applyAlignment="1">
      <alignment horizontal="left"/>
    </xf>
    <xf numFmtId="187" fontId="46" fillId="0" borderId="0" xfId="0" applyNumberFormat="1" applyFont="1" applyAlignment="1">
      <alignment horizontal="center" vertical="center"/>
    </xf>
    <xf numFmtId="0" fontId="46" fillId="0" borderId="0" xfId="0" applyFont="1" applyAlignment="1">
      <alignment horizontal="left" vertical="center"/>
    </xf>
    <xf numFmtId="0" fontId="14" fillId="0" borderId="0" xfId="0" applyNumberFormat="1" applyFont="1" applyBorder="1" applyAlignment="1">
      <alignment horizontal="center" vertical="center" wrapText="1"/>
    </xf>
    <xf numFmtId="0" fontId="8" fillId="0" borderId="0" xfId="0" applyFont="1" applyAlignment="1">
      <alignment horizontal="center" vertical="center"/>
    </xf>
    <xf numFmtId="0" fontId="33" fillId="0" borderId="0" xfId="0" applyFont="1" applyAlignment="1">
      <alignment horizontal="center" vertical="center"/>
    </xf>
    <xf numFmtId="38" fontId="45" fillId="0" borderId="66" xfId="4" applyFont="1" applyBorder="1" applyAlignment="1">
      <alignment horizontal="right" vertical="center" indent="1"/>
    </xf>
    <xf numFmtId="38" fontId="45" fillId="0" borderId="67" xfId="4" applyFont="1" applyBorder="1" applyAlignment="1">
      <alignment horizontal="right" vertical="center" indent="1"/>
    </xf>
    <xf numFmtId="38" fontId="45" fillId="0" borderId="60" xfId="4" applyFont="1" applyBorder="1" applyAlignment="1">
      <alignment horizontal="right" vertical="center" indent="1"/>
    </xf>
    <xf numFmtId="38" fontId="45" fillId="0" borderId="62" xfId="4" applyFont="1" applyBorder="1" applyAlignment="1">
      <alignment horizontal="right" vertical="center" indent="1"/>
    </xf>
    <xf numFmtId="38" fontId="20" fillId="0" borderId="64" xfId="4" applyFont="1" applyBorder="1" applyAlignment="1">
      <alignment horizontal="right" vertical="center" indent="1"/>
    </xf>
    <xf numFmtId="38" fontId="20" fillId="0" borderId="65" xfId="4" applyFont="1" applyBorder="1" applyAlignment="1">
      <alignment horizontal="right" vertical="center" indent="1"/>
    </xf>
    <xf numFmtId="0" fontId="45" fillId="0" borderId="66" xfId="0" applyFont="1" applyBorder="1" applyAlignment="1">
      <alignment horizontal="center" vertical="center"/>
    </xf>
    <xf numFmtId="0" fontId="45" fillId="0" borderId="67" xfId="0" applyFont="1" applyBorder="1" applyAlignment="1">
      <alignment horizontal="center" vertical="center"/>
    </xf>
    <xf numFmtId="0" fontId="45" fillId="0" borderId="58" xfId="0" applyNumberFormat="1" applyFont="1" applyBorder="1" applyAlignment="1">
      <alignment horizontal="center" vertical="center" wrapText="1"/>
    </xf>
    <xf numFmtId="0" fontId="45" fillId="0" borderId="59" xfId="0" applyNumberFormat="1" applyFont="1" applyBorder="1" applyAlignment="1">
      <alignment horizontal="center" vertical="center" wrapText="1"/>
    </xf>
    <xf numFmtId="0" fontId="45" fillId="0" borderId="0" xfId="0" applyFont="1" applyBorder="1" applyAlignment="1">
      <alignment horizontal="center" vertical="center"/>
    </xf>
    <xf numFmtId="0" fontId="45" fillId="0" borderId="57" xfId="0" applyFont="1" applyBorder="1" applyAlignment="1">
      <alignment horizontal="center" vertical="center"/>
    </xf>
    <xf numFmtId="0" fontId="45" fillId="0" borderId="59" xfId="0" applyFont="1" applyBorder="1" applyAlignment="1">
      <alignment horizontal="center" vertical="center"/>
    </xf>
    <xf numFmtId="0" fontId="45" fillId="0" borderId="0" xfId="0" applyFont="1" applyAlignment="1">
      <alignment horizontal="left" vertical="top" wrapText="1"/>
    </xf>
    <xf numFmtId="0" fontId="8" fillId="0" borderId="63" xfId="0" applyFont="1" applyBorder="1" applyAlignment="1">
      <alignment horizontal="center" vertical="center"/>
    </xf>
    <xf numFmtId="0" fontId="33" fillId="0" borderId="64" xfId="0" applyFont="1" applyBorder="1" applyAlignment="1">
      <alignment horizontal="center" vertical="center"/>
    </xf>
    <xf numFmtId="0" fontId="33" fillId="0" borderId="65" xfId="0" applyFont="1" applyBorder="1" applyAlignment="1">
      <alignment horizontal="center" vertical="center"/>
    </xf>
    <xf numFmtId="0" fontId="33" fillId="0" borderId="63" xfId="0" applyFont="1" applyBorder="1" applyAlignment="1">
      <alignment horizontal="center" vertical="center"/>
    </xf>
    <xf numFmtId="0" fontId="46" fillId="0" borderId="0" xfId="0" applyFont="1" applyAlignment="1">
      <alignment horizontal="center" vertical="center"/>
    </xf>
    <xf numFmtId="0" fontId="45" fillId="0" borderId="0" xfId="0" applyFont="1" applyAlignment="1">
      <alignment horizontal="center" vertical="center"/>
    </xf>
    <xf numFmtId="0" fontId="0" fillId="0" borderId="63" xfId="0" applyBorder="1" applyAlignment="1">
      <alignment horizontal="left" vertical="top"/>
    </xf>
    <xf numFmtId="0" fontId="0" fillId="0" borderId="64" xfId="0" applyBorder="1" applyAlignment="1">
      <alignment horizontal="left" vertical="top"/>
    </xf>
    <xf numFmtId="0" fontId="0" fillId="0" borderId="65" xfId="0" applyBorder="1" applyAlignment="1">
      <alignment horizontal="left" vertical="top"/>
    </xf>
    <xf numFmtId="0" fontId="47" fillId="0" borderId="0" xfId="0" applyFont="1" applyAlignment="1">
      <alignment horizontal="distributed" vertical="justify" wrapText="1"/>
    </xf>
    <xf numFmtId="0" fontId="46" fillId="0" borderId="63" xfId="0" applyFont="1" applyBorder="1" applyAlignment="1">
      <alignment horizontal="center" vertical="center"/>
    </xf>
    <xf numFmtId="0" fontId="46" fillId="0" borderId="64" xfId="0" applyFont="1" applyBorder="1" applyAlignment="1">
      <alignment horizontal="center" vertical="center"/>
    </xf>
    <xf numFmtId="0" fontId="46" fillId="0" borderId="65" xfId="0" applyFont="1" applyBorder="1" applyAlignment="1">
      <alignment horizontal="center" vertical="center"/>
    </xf>
    <xf numFmtId="0" fontId="45" fillId="0" borderId="63" xfId="0" applyFont="1" applyBorder="1" applyAlignment="1">
      <alignment horizontal="center" vertical="center"/>
    </xf>
    <xf numFmtId="0" fontId="45" fillId="0" borderId="64" xfId="0" applyFont="1" applyBorder="1" applyAlignment="1">
      <alignment horizontal="center" vertical="center"/>
    </xf>
    <xf numFmtId="0" fontId="45" fillId="0" borderId="65" xfId="0" applyFont="1" applyBorder="1" applyAlignment="1">
      <alignment horizontal="center" vertical="center"/>
    </xf>
    <xf numFmtId="0" fontId="45" fillId="0" borderId="0" xfId="0" applyNumberFormat="1" applyFont="1" applyAlignment="1">
      <alignment horizontal="left" vertical="center"/>
    </xf>
    <xf numFmtId="0" fontId="33" fillId="0" borderId="0" xfId="0" applyFont="1" applyBorder="1" applyAlignment="1">
      <alignment horizontal="left" vertical="center"/>
    </xf>
    <xf numFmtId="0" fontId="33" fillId="0" borderId="67" xfId="0" applyFont="1" applyBorder="1" applyAlignment="1">
      <alignment horizontal="left" vertical="center"/>
    </xf>
    <xf numFmtId="0" fontId="0" fillId="0" borderId="57" xfId="0" applyFont="1" applyBorder="1" applyAlignment="1">
      <alignment horizontal="left" vertical="center"/>
    </xf>
    <xf numFmtId="0" fontId="34" fillId="0" borderId="58" xfId="0" applyFont="1" applyBorder="1" applyAlignment="1">
      <alignment horizontal="left" vertical="center"/>
    </xf>
    <xf numFmtId="0" fontId="45" fillId="0" borderId="0" xfId="0" applyNumberFormat="1" applyFont="1" applyBorder="1" applyAlignment="1">
      <alignment horizontal="center" vertical="center" wrapText="1"/>
    </xf>
    <xf numFmtId="0" fontId="45" fillId="0" borderId="67" xfId="0" applyNumberFormat="1" applyFont="1" applyBorder="1" applyAlignment="1">
      <alignment horizontal="center" vertical="center" wrapText="1"/>
    </xf>
    <xf numFmtId="0" fontId="48" fillId="0" borderId="0" xfId="0" applyFont="1" applyAlignment="1">
      <alignment horizontal="distributed" vertical="distributed" wrapText="1"/>
    </xf>
    <xf numFmtId="0" fontId="49" fillId="0" borderId="0" xfId="0" applyFont="1" applyAlignment="1">
      <alignment horizontal="left" vertical="top" wrapText="1"/>
    </xf>
    <xf numFmtId="0" fontId="20" fillId="0" borderId="0" xfId="0" applyFont="1" applyAlignment="1">
      <alignment horizontal="left" vertical="top" wrapText="1"/>
    </xf>
    <xf numFmtId="0" fontId="45" fillId="0" borderId="0" xfId="0" applyFont="1" applyAlignment="1">
      <alignment horizontal="right" vertical="top" wrapText="1"/>
    </xf>
    <xf numFmtId="0" fontId="34" fillId="0" borderId="0" xfId="0" applyFont="1" applyAlignment="1">
      <alignment horizontal="center" vertical="justify"/>
    </xf>
    <xf numFmtId="188" fontId="6" fillId="0" borderId="0" xfId="0" applyNumberFormat="1" applyFont="1" applyAlignment="1">
      <alignment horizontal="center" vertical="center"/>
    </xf>
    <xf numFmtId="0" fontId="57" fillId="0" borderId="0" xfId="0" applyFont="1">
      <alignment vertical="center"/>
    </xf>
  </cellXfs>
  <cellStyles count="8">
    <cellStyle name="アイテムタイトル" xfId="3"/>
    <cellStyle name="ハイパーリンク" xfId="5" builtinId="8"/>
    <cellStyle name="桁区切り" xfId="4" builtinId="6"/>
    <cellStyle name="出力" xfId="7" builtinId="21"/>
    <cellStyle name="入力するところ" xfId="2"/>
    <cellStyle name="標準" xfId="0" builtinId="0"/>
    <cellStyle name="標準 2" xfId="6"/>
    <cellStyle name="良い"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1" Type="http://schemas.openxmlformats.org/officeDocument/2006/relationships/image" Target="../media/image3.wmf"/></Relationships>
</file>

<file path=xl/drawings/_rels/drawing4.xml.rels><?xml version="1.0" encoding="UTF-8" standalone="yes"?>
<Relationships xmlns="http://schemas.openxmlformats.org/package/2006/relationships"><Relationship Id="rId1" Type="http://schemas.openxmlformats.org/officeDocument/2006/relationships/image" Target="../media/image3.wmf"/></Relationships>
</file>

<file path=xl/drawings/_rels/drawing5.xml.rels><?xml version="1.0" encoding="UTF-8" standalone="yes"?>
<Relationships xmlns="http://schemas.openxmlformats.org/package/2006/relationships"><Relationship Id="rId1" Type="http://schemas.openxmlformats.org/officeDocument/2006/relationships/image" Target="../media/image3.wmf"/></Relationships>
</file>

<file path=xl/drawings/_rels/drawing6.xml.rels><?xml version="1.0" encoding="UTF-8" standalone="yes"?>
<Relationships xmlns="http://schemas.openxmlformats.org/package/2006/relationships"><Relationship Id="rId1" Type="http://schemas.openxmlformats.org/officeDocument/2006/relationships/image" Target="../media/image3.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7325</xdr:colOff>
          <xdr:row>45</xdr:row>
          <xdr:rowOff>19516</xdr:rowOff>
        </xdr:from>
        <xdr:to>
          <xdr:col>12</xdr:col>
          <xdr:colOff>488</xdr:colOff>
          <xdr:row>48</xdr:row>
          <xdr:rowOff>33830</xdr:rowOff>
        </xdr:to>
        <xdr:pic>
          <xdr:nvPicPr>
            <xdr:cNvPr id="12" name="図 11">
              <a:extLst>
                <a:ext uri="{FF2B5EF4-FFF2-40B4-BE49-F238E27FC236}">
                  <a16:creationId xmlns:a16="http://schemas.microsoft.com/office/drawing/2014/main" id="{00000000-0008-0000-0500-00000C000000}"/>
                </a:ext>
              </a:extLst>
            </xdr:cNvPr>
            <xdr:cNvPicPr>
              <a:picLocks noChangeAspect="1" noChangeArrowheads="1"/>
              <a:extLst>
                <a:ext uri="{84589F7E-364E-4C9E-8A38-B11213B215E9}">
                  <a14:cameraTool cellRange="avocado!$A$1:$AB$22" spid="_x0000_s1380"/>
                </a:ext>
              </a:extLst>
            </xdr:cNvPicPr>
          </xdr:nvPicPr>
          <xdr:blipFill>
            <a:blip xmlns:r="http://schemas.openxmlformats.org/officeDocument/2006/relationships" r:embed="rId1"/>
            <a:srcRect/>
            <a:stretch>
              <a:fillRect/>
            </a:stretch>
          </xdr:blipFill>
          <xdr:spPr bwMode="auto">
            <a:xfrm>
              <a:off x="46739" y="9233585"/>
              <a:ext cx="6600885" cy="130303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476250</xdr:colOff>
      <xdr:row>37</xdr:row>
      <xdr:rowOff>126433</xdr:rowOff>
    </xdr:from>
    <xdr:to>
      <xdr:col>6</xdr:col>
      <xdr:colOff>133350</xdr:colOff>
      <xdr:row>38</xdr:row>
      <xdr:rowOff>184700</xdr:rowOff>
    </xdr:to>
    <xdr:pic>
      <xdr:nvPicPr>
        <xdr:cNvPr id="3" name="図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5550" y="8584633"/>
          <a:ext cx="1676400" cy="2868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11</xdr:row>
          <xdr:rowOff>82550</xdr:rowOff>
        </xdr:from>
        <xdr:to>
          <xdr:col>8</xdr:col>
          <xdr:colOff>335438</xdr:colOff>
          <xdr:row>37</xdr:row>
          <xdr:rowOff>25400</xdr:rowOff>
        </xdr:to>
        <xdr:pic>
          <xdr:nvPicPr>
            <xdr:cNvPr id="6" name="図 5">
              <a:extLst>
                <a:ext uri="{FF2B5EF4-FFF2-40B4-BE49-F238E27FC236}">
                  <a16:creationId xmlns:a16="http://schemas.microsoft.com/office/drawing/2014/main" id="{00000000-0008-0000-0900-000006000000}"/>
                </a:ext>
              </a:extLst>
            </xdr:cNvPr>
            <xdr:cNvPicPr>
              <a:picLocks noChangeAspect="1" noChangeArrowheads="1"/>
              <a:extLst>
                <a:ext uri="{84589F7E-364E-4C9E-8A38-B11213B215E9}">
                  <a14:cameraTool cellRange="'Application sheet'!$C$53:$K$100" spid="_x0000_s9505"/>
                </a:ext>
              </a:extLst>
            </xdr:cNvPicPr>
          </xdr:nvPicPr>
          <xdr:blipFill>
            <a:blip xmlns:r="http://schemas.openxmlformats.org/officeDocument/2006/relationships" r:embed="rId2"/>
            <a:srcRect/>
            <a:stretch>
              <a:fillRect/>
            </a:stretch>
          </xdr:blipFill>
          <xdr:spPr bwMode="auto">
            <a:xfrm>
              <a:off x="673100" y="2597150"/>
              <a:ext cx="5047138" cy="5886450"/>
            </a:xfrm>
            <a:prstGeom prst="rect">
              <a:avLst/>
            </a:prstGeom>
            <a:noFill/>
            <a:ln w="22225">
              <a:solidFill>
                <a:schemeClr val="tx1"/>
              </a:solidFill>
            </a:ln>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82549</xdr:colOff>
      <xdr:row>0</xdr:row>
      <xdr:rowOff>62933</xdr:rowOff>
    </xdr:from>
    <xdr:to>
      <xdr:col>4</xdr:col>
      <xdr:colOff>833194</xdr:colOff>
      <xdr:row>2</xdr:row>
      <xdr:rowOff>184150</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49" y="62933"/>
          <a:ext cx="3303345" cy="5784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82549</xdr:colOff>
      <xdr:row>0</xdr:row>
      <xdr:rowOff>62933</xdr:rowOff>
    </xdr:from>
    <xdr:to>
      <xdr:col>4</xdr:col>
      <xdr:colOff>833194</xdr:colOff>
      <xdr:row>2</xdr:row>
      <xdr:rowOff>184150</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49" y="62933"/>
          <a:ext cx="3303345" cy="5784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82549</xdr:colOff>
      <xdr:row>0</xdr:row>
      <xdr:rowOff>62933</xdr:rowOff>
    </xdr:from>
    <xdr:to>
      <xdr:col>4</xdr:col>
      <xdr:colOff>833194</xdr:colOff>
      <xdr:row>2</xdr:row>
      <xdr:rowOff>107950</xdr:rowOff>
    </xdr:to>
    <xdr:pic>
      <xdr:nvPicPr>
        <xdr:cNvPr id="2" name="図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49" y="62933"/>
          <a:ext cx="3303345" cy="5784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82549</xdr:colOff>
      <xdr:row>0</xdr:row>
      <xdr:rowOff>62933</xdr:rowOff>
    </xdr:from>
    <xdr:to>
      <xdr:col>4</xdr:col>
      <xdr:colOff>833194</xdr:colOff>
      <xdr:row>2</xdr:row>
      <xdr:rowOff>107950</xdr:rowOff>
    </xdr:to>
    <xdr:pic>
      <xdr:nvPicPr>
        <xdr:cNvPr id="2" name="図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49" y="62933"/>
          <a:ext cx="3303345" cy="57841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c.hgc.jp/c/riyou_sinsei.xlsx" TargetMode="External"/><Relationship Id="rId1" Type="http://schemas.openxmlformats.org/officeDocument/2006/relationships/hyperlink" Target="https://supcom.hgc.jp/c/riyou_sinsei.xlsx"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gc.hgc.jp/license2/" TargetMode="External"/><Relationship Id="rId1" Type="http://schemas.openxmlformats.org/officeDocument/2006/relationships/hyperlink" Target="https://gc.hgc.jp/license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28"/>
  <sheetViews>
    <sheetView tabSelected="1" workbookViewId="0">
      <pane ySplit="1" topLeftCell="A2" activePane="bottomLeft" state="frozen"/>
      <selection activeCell="L8" sqref="L8"/>
      <selection pane="bottomLeft" sqref="A1:B1"/>
    </sheetView>
  </sheetViews>
  <sheetFormatPr defaultRowHeight="18" x14ac:dyDescent="0.55000000000000004"/>
  <sheetData>
    <row r="1" spans="1:12" x14ac:dyDescent="0.55000000000000004">
      <c r="A1" s="210" t="s">
        <v>23</v>
      </c>
      <c r="B1" s="210"/>
      <c r="C1" s="206" t="s">
        <v>18</v>
      </c>
      <c r="D1" s="206"/>
      <c r="E1" s="206" t="s">
        <v>19</v>
      </c>
      <c r="F1" s="206"/>
      <c r="G1" s="206" t="s">
        <v>20</v>
      </c>
      <c r="H1" s="206"/>
      <c r="I1" s="206" t="s">
        <v>21</v>
      </c>
      <c r="J1" s="206"/>
      <c r="K1" s="206" t="s">
        <v>22</v>
      </c>
      <c r="L1" s="206"/>
    </row>
    <row r="2" spans="1:12" ht="22.5" x14ac:dyDescent="0.55000000000000004">
      <c r="B2" s="2" t="str">
        <f>IF(L,"申請書の送信要領","Instructions for sending the application form")</f>
        <v>申請書の送信要領</v>
      </c>
    </row>
    <row r="4" spans="1:12" ht="81" customHeight="1" x14ac:dyDescent="0.55000000000000004">
      <c r="B4">
        <v>1</v>
      </c>
      <c r="C4" s="205" t="str">
        <f>IF(L,"Input sheet 1～4 に入力したこの Excel ファイルをメールにて support@hgc.jp までお送りください。初めての利用で、"&amp;banana!C26&amp;"以外のアカウントを作成する場合はアカウント申請書もお送りください。更新 (翌年の「利用」)、停止申請の場合は、成果物リストもお送りください。","Please email this Excel file, as entered, to support@hgc.jp. If this is your first time using SHIROKANE and you want to create accounts other than "&amp;banana!C26&amp;", please send an account request Excel with this.")</f>
        <v>Input sheet 1～4 に入力したこの Excel ファイルをメールにて support@hgc.jp までお送りください。初めての利用で、まとめ利用者以外のアカウントを作成する場合はアカウント申請書もお送りください。更新 (翌年の「利用」)、停止申請の場合は、成果物リストもお送りください。</v>
      </c>
      <c r="D4" s="205"/>
      <c r="E4" s="205"/>
      <c r="F4" s="205"/>
      <c r="G4" s="205"/>
      <c r="H4" s="205"/>
      <c r="I4" s="205"/>
      <c r="J4" s="205"/>
    </row>
    <row r="5" spans="1:12" ht="47.25" customHeight="1" x14ac:dyDescent="0.55000000000000004">
      <c r="B5">
        <v>2</v>
      </c>
      <c r="C5" s="205" t="str">
        <f>IF(L,"更新 (翌年の「利用」)、停止申請の場合は、成果物リストも提出しなければ申請書は審査されません。 https://gc.hgc.jp/lead/continue/","If you are applying for account renewal (continued 'Use' of the following year) or account suspension, you must also submit a usage report, or your application will not be processed.")</f>
        <v>更新 (翌年の「利用」)、停止申請の場合は、成果物リストも提出しなければ申請書は審査されません。 https://gc.hgc.jp/lead/continue/</v>
      </c>
      <c r="D5" s="205"/>
      <c r="E5" s="205"/>
      <c r="F5" s="205"/>
      <c r="G5" s="205"/>
      <c r="H5" s="205"/>
      <c r="I5" s="205"/>
      <c r="J5" s="205"/>
    </row>
    <row r="6" spans="1:12" ht="31.5" customHeight="1" x14ac:dyDescent="0.55000000000000004">
      <c r="B6">
        <v>3</v>
      </c>
      <c r="C6" s="207" t="str">
        <f>IF(L,"押印は不要です。","No seal is required.")</f>
        <v>押印は不要です。</v>
      </c>
      <c r="D6" s="207"/>
      <c r="E6" s="207"/>
      <c r="F6" s="207"/>
      <c r="G6" s="207"/>
      <c r="H6" s="207"/>
      <c r="I6" s="207"/>
      <c r="J6" s="207"/>
    </row>
    <row r="8" spans="1:12" ht="22.5" x14ac:dyDescent="0.55000000000000004">
      <c r="B8" s="2" t="str">
        <f>IF(L,"記入上、利用上の注意","Notes")</f>
        <v>記入上、利用上の注意</v>
      </c>
    </row>
    <row r="9" spans="1:12" x14ac:dyDescent="0.55000000000000004">
      <c r="C9" s="196" t="str">
        <f ca="1">banana!J34</f>
        <v/>
      </c>
    </row>
    <row r="10" spans="1:12" ht="31.5" customHeight="1" x14ac:dyDescent="0.55000000000000004">
      <c r="B10">
        <v>1</v>
      </c>
      <c r="C10" s="205" t="str">
        <f>IF(L,"ヒトゲノム解析センターの Web サイトにある最新の申請書様式をご使用ください。「利用」の変更や「停止」には提出済みの様式を利用できます。","Please use the latest application form on the Web site of Human Genome Center. ")</f>
        <v>ヒトゲノム解析センターの Web サイトにある最新の申請書様式をご使用ください。「利用」の変更や「停止」には提出済みの様式を利用できます。</v>
      </c>
      <c r="D10" s="205"/>
      <c r="E10" s="205"/>
      <c r="F10" s="205"/>
      <c r="G10" s="205"/>
      <c r="H10" s="205"/>
      <c r="I10" s="205"/>
      <c r="J10" s="205"/>
    </row>
    <row r="11" spans="1:12" ht="20.25" customHeight="1" x14ac:dyDescent="0.55000000000000004">
      <c r="C11" s="6"/>
      <c r="D11" s="208" t="s">
        <v>180</v>
      </c>
      <c r="E11" s="209"/>
      <c r="F11" s="209"/>
      <c r="G11" s="209"/>
      <c r="H11" s="209"/>
      <c r="I11" s="209"/>
      <c r="J11" s="209"/>
    </row>
    <row r="12" spans="1:12" ht="31.5" customHeight="1" x14ac:dyDescent="0.55000000000000004">
      <c r="B12">
        <v>2</v>
      </c>
      <c r="C12" s="205" t="str">
        <f>IF(L,banana!C27&amp;"は１研究室あたり１人を定めてください。","Please have one "&amp;banana!C27&amp;" per laboratory.")</f>
        <v>研究責任者は１研究室あたり１人を定めてください。</v>
      </c>
      <c r="D12" s="205"/>
      <c r="E12" s="205"/>
      <c r="F12" s="205"/>
      <c r="G12" s="205"/>
      <c r="H12" s="205"/>
      <c r="I12" s="205"/>
      <c r="J12" s="205"/>
    </row>
    <row r="13" spans="1:12" ht="47.25" customHeight="1" x14ac:dyDescent="0.55000000000000004">
      <c r="B13">
        <v>3</v>
      </c>
      <c r="C13" s="205" t="str">
        <f>IF(L,banana!C26&amp;"以外のアカウントを追加、削除する場合には、別紙のアカウント申請書を提出してください。","To add/remove user accounts except "&amp;banana!C26&amp;", please submit the Application for User Accounts.")</f>
        <v>まとめ利用者以外のアカウントを追加、削除する場合には、別紙のアカウント申請書を提出してください。</v>
      </c>
      <c r="D13" s="205"/>
      <c r="E13" s="205"/>
      <c r="F13" s="205"/>
      <c r="G13" s="205"/>
      <c r="H13" s="205"/>
      <c r="I13" s="205"/>
      <c r="J13" s="205"/>
    </row>
    <row r="14" spans="1:12" ht="81" customHeight="1" x14ac:dyDescent="0.55000000000000004">
      <c r="B14">
        <v>4</v>
      </c>
      <c r="C14" s="205" t="str">
        <f>IF(L,"本スーパーコンピュータの資源を利用して得られた成果については、必ず以下の内容のいずれかを本文もしくは、謝辞に入れてください。大きく意味を変えるものでなければ、文章のつながりから改変、部分の省略や文の挿入などをしていただいてもかまいません。","Please include one of the following statements in the main text or the Acknowledgements section of any papers published as a result of research that employed the resources of the HGC computer system.  You may adjust the wording to fit into the text. ")</f>
        <v>本スーパーコンピュータの資源を利用して得られた成果については、必ず以下の内容のいずれかを本文もしくは、謝辞に入れてください。大きく意味を変えるものでなければ、文章のつながりから改変、部分の省略や文の挿入などをしていただいてもかまいません。</v>
      </c>
      <c r="D14" s="205"/>
      <c r="E14" s="205"/>
      <c r="F14" s="205"/>
      <c r="G14" s="205"/>
      <c r="H14" s="205"/>
      <c r="I14" s="205"/>
      <c r="J14" s="205"/>
    </row>
    <row r="16" spans="1:12" ht="63.75" customHeight="1" x14ac:dyDescent="0.55000000000000004">
      <c r="C16" t="s">
        <v>90</v>
      </c>
      <c r="D16" s="205" t="s">
        <v>89</v>
      </c>
      <c r="E16" s="205"/>
      <c r="F16" s="205"/>
      <c r="G16" s="205"/>
      <c r="H16" s="205"/>
      <c r="I16" s="205"/>
      <c r="J16" s="205"/>
    </row>
    <row r="17" spans="2:10" ht="42" customHeight="1" x14ac:dyDescent="0.55000000000000004">
      <c r="C17" t="s">
        <v>91</v>
      </c>
      <c r="D17" s="205" t="s">
        <v>179</v>
      </c>
      <c r="E17" s="205"/>
      <c r="F17" s="205"/>
      <c r="G17" s="205"/>
      <c r="H17" s="205"/>
      <c r="I17" s="205"/>
      <c r="J17" s="205"/>
    </row>
    <row r="19" spans="2:10" ht="22.5" x14ac:dyDescent="0.55000000000000004">
      <c r="B19" s="2" t="str">
        <f>IF(L,"請求書はいつ送られますか","When can I get an invoice?")</f>
        <v>請求書はいつ送られますか</v>
      </c>
    </row>
    <row r="21" spans="2:10" ht="58.5" customHeight="1" x14ac:dyDescent="0.55000000000000004">
      <c r="C21" s="205" t="str">
        <f>IF(L,"""一括払い"" の請求時期は、利用期間の最終月の前月です。請求時期の希望がある場合は、必ずご連絡をお願いします。""月々後払い"" の場合は、利用月の翌月に請求します。","Billing process of ""Single payment"" case starts about one month earlier than the final use month. Please let me know if you have other request. Billing process of ""Monthly payment"" case starts at following month of the use month.")</f>
        <v>"一括払い" の請求時期は、利用期間の最終月の前月です。請求時期の希望がある場合は、必ずご連絡をお願いします。"月々後払い" の場合は、利用月の翌月に請求します。</v>
      </c>
      <c r="D21" s="205"/>
      <c r="E21" s="205"/>
      <c r="F21" s="205"/>
      <c r="G21" s="205"/>
      <c r="H21" s="205"/>
      <c r="I21" s="205"/>
      <c r="J21" s="205"/>
    </row>
    <row r="23" spans="2:10" ht="22.5" x14ac:dyDescent="0.55000000000000004">
      <c r="B23" s="2" t="str">
        <f>IF(L,"受け取った請求書に関する問い合わせは","")</f>
        <v>受け取った請求書に関する問い合わせは</v>
      </c>
    </row>
    <row r="25" spans="2:10" x14ac:dyDescent="0.55000000000000004">
      <c r="C25" s="205" t="str">
        <f>IF(L,"SHIROKANE サポート係に、メールでご連絡ください。","")</f>
        <v>SHIROKANE サポート係に、メールでご連絡ください。</v>
      </c>
      <c r="D25" s="205"/>
      <c r="E25" s="205"/>
      <c r="F25" s="205"/>
      <c r="G25" s="205"/>
      <c r="H25" s="205"/>
      <c r="I25" s="205"/>
      <c r="J25" s="205"/>
    </row>
    <row r="26" spans="2:10" ht="39" customHeight="1" x14ac:dyDescent="0.55000000000000004">
      <c r="C26" s="205" t="str">
        <f>IF(L,"請求書に記載されている「東京大学医科学研究所　調達契約チーム」ではなく、"&amp;C25,"")</f>
        <v>請求書に記載されている「東京大学医科学研究所　調達契約チーム」ではなく、SHIROKANE サポート係に、メールでご連絡ください。</v>
      </c>
      <c r="D26" s="205"/>
      <c r="E26" s="205"/>
      <c r="F26" s="205"/>
      <c r="G26" s="205"/>
      <c r="H26" s="205"/>
      <c r="I26" s="205"/>
      <c r="J26" s="205"/>
    </row>
    <row r="27" spans="2:10" x14ac:dyDescent="0.55000000000000004">
      <c r="D27" s="67" t="str">
        <f>IF(L,"SHIROKANE サポート係","")</f>
        <v>SHIROKANE サポート係</v>
      </c>
      <c r="E27" s="67"/>
      <c r="F27" s="67"/>
      <c r="G27" s="67"/>
      <c r="H27" s="67"/>
      <c r="I27" s="67"/>
      <c r="J27" s="67"/>
    </row>
    <row r="28" spans="2:10" x14ac:dyDescent="0.55000000000000004">
      <c r="D28" s="205" t="str">
        <f>IF(L,"support@hgc.jp","")</f>
        <v>support@hgc.jp</v>
      </c>
      <c r="E28" s="205"/>
      <c r="F28" s="1"/>
      <c r="G28" s="1"/>
      <c r="H28" s="1"/>
      <c r="I28" s="1"/>
      <c r="J28" s="1"/>
    </row>
  </sheetData>
  <sheetProtection sheet="1" objects="1" scenarios="1"/>
  <mergeCells count="20">
    <mergeCell ref="A1:B1"/>
    <mergeCell ref="C10:J10"/>
    <mergeCell ref="C1:D1"/>
    <mergeCell ref="E1:F1"/>
    <mergeCell ref="G1:H1"/>
    <mergeCell ref="I1:J1"/>
    <mergeCell ref="K1:L1"/>
    <mergeCell ref="C4:J4"/>
    <mergeCell ref="C6:J6"/>
    <mergeCell ref="D16:J16"/>
    <mergeCell ref="D11:J11"/>
    <mergeCell ref="C12:J12"/>
    <mergeCell ref="C13:J13"/>
    <mergeCell ref="C5:J5"/>
    <mergeCell ref="C14:J14"/>
    <mergeCell ref="C25:J25"/>
    <mergeCell ref="C26:J26"/>
    <mergeCell ref="D28:E28"/>
    <mergeCell ref="D17:J17"/>
    <mergeCell ref="C21:J21"/>
  </mergeCells>
  <phoneticPr fontId="2"/>
  <hyperlinks>
    <hyperlink ref="E1" location="'Input sheet 2'!A1" display="Input Sheet 2"/>
    <hyperlink ref="G1" location="'Input sheet 3'!A1" display="Input Sheet 3"/>
    <hyperlink ref="I1" location="'Input sheet 4'!A1" display="Input Sheet 4"/>
    <hyperlink ref="K1" location="'Application sheet'!A1" display="Application Sheet"/>
    <hyperlink ref="C1" location="'Input sheet 1'!A1" display="Input Sheet 1"/>
    <hyperlink ref="D11" r:id="rId1" display="https://supcom.hgc.jp/c/riyou_sinsei.xlsx"/>
    <hyperlink ref="D11:J11" r:id="rId2" display="https://gc.hgc.jp/c/riyou_sinsei.xlsx"/>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B1:I11"/>
  <sheetViews>
    <sheetView zoomScaleNormal="100" workbookViewId="0">
      <selection activeCell="D1" sqref="D1:F2"/>
    </sheetView>
  </sheetViews>
  <sheetFormatPr defaultRowHeight="18" x14ac:dyDescent="0.55000000000000004"/>
  <cols>
    <col min="1" max="1" width="6.83203125" customWidth="1"/>
  </cols>
  <sheetData>
    <row r="1" spans="2:9" x14ac:dyDescent="0.55000000000000004">
      <c r="D1" s="318" t="str">
        <f>IF('C'!D2&lt;&gt;"",'C'!D2,'C'!F2)</f>
        <v>見積書</v>
      </c>
      <c r="E1" s="319"/>
      <c r="F1" s="319"/>
    </row>
    <row r="2" spans="2:9" x14ac:dyDescent="0.55000000000000004">
      <c r="D2" s="319"/>
      <c r="E2" s="319"/>
      <c r="F2" s="319"/>
    </row>
    <row r="3" spans="2:9" x14ac:dyDescent="0.55000000000000004">
      <c r="B3" s="329" t="str">
        <f>IF('C'!D3&lt;&gt;"",'C'!D3,'C'!F3)&amp;" "&amp;IF('C'!D4&lt;&gt;"",'C'!D4,'C'!F4)</f>
        <v>0 御中</v>
      </c>
      <c r="C3" s="329"/>
      <c r="D3" s="329"/>
      <c r="E3" s="329"/>
      <c r="G3" s="327">
        <f>IF('C'!D5&lt;&gt;"",'C'!D5,'C'!F5)</f>
        <v>0</v>
      </c>
      <c r="H3" s="327"/>
      <c r="I3" s="327"/>
    </row>
    <row r="4" spans="2:9" ht="18" customHeight="1" x14ac:dyDescent="0.55000000000000004">
      <c r="B4" s="329"/>
      <c r="C4" s="329"/>
      <c r="D4" s="329"/>
      <c r="E4" s="329"/>
      <c r="G4" s="328" t="s">
        <v>127</v>
      </c>
      <c r="H4" s="315"/>
      <c r="I4" s="315"/>
    </row>
    <row r="5" spans="2:9" ht="18" customHeight="1" x14ac:dyDescent="0.55000000000000004">
      <c r="B5" s="329"/>
      <c r="C5" s="329"/>
      <c r="D5" s="329"/>
      <c r="E5" s="329"/>
      <c r="G5" s="315" t="s">
        <v>128</v>
      </c>
      <c r="H5" s="315"/>
      <c r="I5" s="315"/>
    </row>
    <row r="6" spans="2:9" x14ac:dyDescent="0.55000000000000004">
      <c r="B6" s="329"/>
      <c r="C6" s="329"/>
      <c r="D6" s="329"/>
      <c r="E6" s="329"/>
      <c r="G6" s="315" t="s">
        <v>129</v>
      </c>
      <c r="H6" s="315"/>
      <c r="I6" s="315"/>
    </row>
    <row r="7" spans="2:9" x14ac:dyDescent="0.55000000000000004">
      <c r="B7" s="320" t="str">
        <f>"ヒトゲノム解析センター電算機システムの利用料金を以下の通りお見積り申し上げます。"</f>
        <v>ヒトゲノム解析センター電算機システムの利用料金を以下の通りお見積り申し上げます。</v>
      </c>
      <c r="C7" s="320"/>
      <c r="D7" s="320"/>
      <c r="E7" s="320"/>
      <c r="G7" s="315" t="s">
        <v>130</v>
      </c>
      <c r="H7" s="315"/>
      <c r="I7" s="315"/>
    </row>
    <row r="8" spans="2:9" x14ac:dyDescent="0.55000000000000004">
      <c r="B8" s="320"/>
      <c r="C8" s="320"/>
      <c r="D8" s="320"/>
      <c r="E8" s="320"/>
      <c r="G8" s="315" t="s">
        <v>131</v>
      </c>
      <c r="H8" s="315"/>
      <c r="I8" s="315"/>
    </row>
    <row r="9" spans="2:9" x14ac:dyDescent="0.55000000000000004">
      <c r="B9" s="321" t="s">
        <v>125</v>
      </c>
      <c r="C9" s="323" t="e">
        <f>banana!$Q$179</f>
        <v>#N/A</v>
      </c>
      <c r="D9" s="323"/>
      <c r="E9" s="325" t="s">
        <v>126</v>
      </c>
    </row>
    <row r="10" spans="2:9" ht="18.5" thickBot="1" x14ac:dyDescent="0.6">
      <c r="B10" s="322"/>
      <c r="C10" s="324"/>
      <c r="D10" s="324"/>
      <c r="E10" s="326"/>
    </row>
    <row r="11" spans="2:9" x14ac:dyDescent="0.35">
      <c r="B11" s="135" t="str">
        <f>"本見積の"&amp;'C'!B6&amp;": "&amp;IF('C'!D6&lt;&gt;"",'C'!D6,'C'!F6)</f>
        <v>本見積の有効期限: 発行日から 2 か月</v>
      </c>
      <c r="G11" s="316" t="str">
        <f>'C'!B7&amp;": "&amp;IF('C'!D7&lt;&gt;"",'C'!D7,'C'!F7)</f>
        <v>支払期日: 請求日から 30 日以内</v>
      </c>
      <c r="H11" s="317"/>
      <c r="I11" s="317"/>
    </row>
  </sheetData>
  <mergeCells count="13">
    <mergeCell ref="G7:I7"/>
    <mergeCell ref="G6:I6"/>
    <mergeCell ref="G8:I8"/>
    <mergeCell ref="G11:I11"/>
    <mergeCell ref="D1:F2"/>
    <mergeCell ref="B7:E8"/>
    <mergeCell ref="B9:B10"/>
    <mergeCell ref="C9:D10"/>
    <mergeCell ref="E9:E10"/>
    <mergeCell ref="G3:I3"/>
    <mergeCell ref="G4:I4"/>
    <mergeCell ref="G5:I5"/>
    <mergeCell ref="B3:E6"/>
  </mergeCells>
  <phoneticPr fontId="2"/>
  <pageMargins left="0.7" right="0.7" top="0.75" bottom="0.75" header="0.3" footer="0.3"/>
  <pageSetup paperSize="9" orientation="portrait" horizontalDpi="1200" verticalDpi="1200"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activeCell="G1" sqref="G1:I2"/>
    </sheetView>
  </sheetViews>
  <sheetFormatPr defaultRowHeight="18" x14ac:dyDescent="0.55000000000000004"/>
  <cols>
    <col min="4" max="4" width="7.5" customWidth="1"/>
    <col min="5" max="5" width="11.08203125" customWidth="1"/>
    <col min="6" max="7" width="7.33203125" customWidth="1"/>
    <col min="8" max="8" width="9" customWidth="1"/>
  </cols>
  <sheetData>
    <row r="1" spans="1:9" ht="18" customHeight="1" x14ac:dyDescent="0.55000000000000004">
      <c r="D1" s="136"/>
      <c r="E1" s="146"/>
      <c r="F1" s="146"/>
      <c r="G1" s="355" t="str">
        <f>IF('C'!D9&lt;&gt;"",'C'!D9,'C'!F9)</f>
        <v>請求明細書</v>
      </c>
      <c r="H1" s="355"/>
      <c r="I1" s="355"/>
    </row>
    <row r="2" spans="1:9" ht="18" customHeight="1" x14ac:dyDescent="0.55000000000000004">
      <c r="D2" s="137"/>
      <c r="E2" s="146"/>
      <c r="F2" s="146"/>
      <c r="G2" s="355"/>
      <c r="H2" s="355"/>
      <c r="I2" s="355"/>
    </row>
    <row r="3" spans="1:9" ht="18" customHeight="1" x14ac:dyDescent="0.55000000000000004">
      <c r="D3" s="137"/>
      <c r="E3" s="140"/>
      <c r="F3" s="141"/>
      <c r="G3" s="141"/>
      <c r="H3" s="141"/>
      <c r="I3" s="142"/>
    </row>
    <row r="4" spans="1:9" ht="18" customHeight="1" x14ac:dyDescent="0.55000000000000004">
      <c r="D4" s="137"/>
      <c r="E4" s="140"/>
      <c r="F4" s="141"/>
      <c r="G4" s="144" t="str">
        <f>'C'!B16</f>
        <v>取引先 ID</v>
      </c>
      <c r="H4" s="362" t="str">
        <f>IF('C'!D16&lt;&gt;"",'C'!D16,'C'!F16)</f>
        <v xml:space="preserve"> </v>
      </c>
      <c r="I4" s="362"/>
    </row>
    <row r="5" spans="1:9" ht="18" customHeight="1" x14ac:dyDescent="0.55000000000000004">
      <c r="A5" s="144" t="str">
        <f>'C'!B11</f>
        <v>請求先</v>
      </c>
      <c r="B5" s="345" t="str">
        <f>IF('C'!D11&lt;&gt;"",'C'!D11,'C'!F11)&amp;" "&amp;IF('C'!D12&lt;&gt;"",'C'!D12,'C'!F12)</f>
        <v>0 御中</v>
      </c>
      <c r="C5" s="345"/>
      <c r="D5" s="345"/>
      <c r="E5" s="345"/>
      <c r="F5" s="345"/>
      <c r="G5" s="345"/>
      <c r="H5" s="141"/>
      <c r="I5" s="142"/>
    </row>
    <row r="6" spans="1:9" ht="18" customHeight="1" x14ac:dyDescent="0.55000000000000004">
      <c r="B6" s="345"/>
      <c r="C6" s="345"/>
      <c r="D6" s="345"/>
      <c r="E6" s="345"/>
      <c r="F6" s="345"/>
      <c r="G6" s="345"/>
      <c r="H6" s="141"/>
      <c r="I6" s="142"/>
    </row>
    <row r="7" spans="1:9" ht="18" customHeight="1" x14ac:dyDescent="0.55000000000000004">
      <c r="A7" s="144" t="str">
        <f>'C'!B13</f>
        <v>請求先住所</v>
      </c>
      <c r="B7" s="345" t="str">
        <f>"〒"&amp;IF('C'!D13&lt;&gt;"",'C'!D13,'C'!F13)&amp;" "&amp;IF('C'!D14&lt;&gt;"",'C'!D14,'C'!F14)</f>
        <v>〒FALSE 様</v>
      </c>
      <c r="C7" s="345"/>
      <c r="D7" s="345"/>
      <c r="E7" s="345"/>
      <c r="F7" s="345"/>
      <c r="G7" s="345"/>
      <c r="H7" s="141"/>
      <c r="I7" s="142"/>
    </row>
    <row r="8" spans="1:9" ht="18" customHeight="1" x14ac:dyDescent="0.55000000000000004">
      <c r="B8" s="345"/>
      <c r="C8" s="345"/>
      <c r="D8" s="345"/>
      <c r="E8" s="345"/>
      <c r="F8" s="345"/>
      <c r="G8" s="345"/>
      <c r="H8" s="141"/>
      <c r="I8" s="142"/>
    </row>
    <row r="9" spans="1:9" ht="18" customHeight="1" x14ac:dyDescent="0.55000000000000004">
      <c r="A9" s="144" t="str">
        <f>'C'!B15</f>
        <v>電話</v>
      </c>
      <c r="B9" s="345" t="b">
        <f>IF('C'!D15&lt;&gt;"",'C'!D15,'C'!F15)</f>
        <v>0</v>
      </c>
      <c r="C9" s="345"/>
      <c r="D9" s="345"/>
      <c r="E9" s="345"/>
      <c r="F9" s="345"/>
      <c r="G9" s="345"/>
      <c r="H9" s="141"/>
      <c r="I9" s="142"/>
    </row>
    <row r="10" spans="1:9" ht="18" customHeight="1" x14ac:dyDescent="0.55000000000000004">
      <c r="B10" s="345"/>
      <c r="C10" s="345"/>
      <c r="D10" s="345"/>
      <c r="E10" s="345"/>
      <c r="F10" s="345"/>
      <c r="G10" s="345"/>
      <c r="H10" s="141"/>
      <c r="I10" s="142"/>
    </row>
    <row r="11" spans="1:9" ht="11.15" customHeight="1" x14ac:dyDescent="0.55000000000000004">
      <c r="D11" s="137"/>
      <c r="E11" s="140"/>
      <c r="F11" s="141"/>
      <c r="G11" s="141"/>
      <c r="H11" s="141"/>
      <c r="I11" s="142"/>
    </row>
    <row r="12" spans="1:9" x14ac:dyDescent="0.55000000000000004">
      <c r="B12" s="147" t="str">
        <f>'C'!B17</f>
        <v>品名</v>
      </c>
      <c r="E12" s="147" t="str">
        <f>'C'!B18</f>
        <v>支払形式</v>
      </c>
      <c r="F12" s="143"/>
      <c r="G12" s="143"/>
      <c r="H12" s="147" t="str">
        <f>'C'!B19</f>
        <v>支払期日</v>
      </c>
      <c r="I12" s="143"/>
    </row>
    <row r="13" spans="1:9" ht="27.65" customHeight="1" x14ac:dyDescent="0.55000000000000004">
      <c r="A13" s="356" t="str">
        <f>IF('C'!D17&lt;&gt;"",'C'!D17,'C'!F17)</f>
        <v>電子計算機利用費</v>
      </c>
      <c r="B13" s="357"/>
      <c r="C13" s="358"/>
      <c r="D13" s="356" t="b">
        <f>IF('C'!D18&lt;&gt;"",'C'!D18,'C'!F18)</f>
        <v>0</v>
      </c>
      <c r="E13" s="357"/>
      <c r="F13" s="358"/>
      <c r="G13" s="359" t="str">
        <f>IF('C'!D19&lt;&gt;"",'C'!D19,'C'!F19)</f>
        <v>請求日から 30 日以内</v>
      </c>
      <c r="H13" s="360"/>
      <c r="I13" s="361"/>
    </row>
    <row r="14" spans="1:9" ht="5.15" customHeight="1" x14ac:dyDescent="0.55000000000000004">
      <c r="F14" s="143"/>
      <c r="G14" s="143"/>
      <c r="H14" s="143"/>
      <c r="I14" s="143"/>
    </row>
    <row r="15" spans="1:9" x14ac:dyDescent="0.55000000000000004">
      <c r="A15" s="346" t="s">
        <v>151</v>
      </c>
      <c r="B15" s="347"/>
      <c r="C15" s="347"/>
      <c r="D15" s="348"/>
      <c r="E15" s="148" t="s">
        <v>152</v>
      </c>
      <c r="F15" s="148" t="s">
        <v>153</v>
      </c>
      <c r="G15" s="148" t="s">
        <v>154</v>
      </c>
      <c r="H15" s="349" t="s">
        <v>155</v>
      </c>
      <c r="I15" s="348"/>
    </row>
    <row r="16" spans="1:9" x14ac:dyDescent="0.55000000000000004">
      <c r="A16" s="153" t="str">
        <f>banana!A25</f>
        <v>利用者</v>
      </c>
      <c r="B16" s="340" t="str">
        <f>REPUNAME&amp;" 様"</f>
        <v xml:space="preserve"> 様</v>
      </c>
      <c r="C16" s="340"/>
      <c r="D16" s="341"/>
      <c r="E16" s="166"/>
      <c r="F16" s="170"/>
      <c r="G16" s="170"/>
      <c r="H16" s="343"/>
      <c r="I16" s="344"/>
    </row>
    <row r="17" spans="1:9" ht="16" customHeight="1" x14ac:dyDescent="0.55000000000000004">
      <c r="A17" s="154" t="str">
        <f>IF('C'!D22="",'C'!B22,"")</f>
        <v>利用期間</v>
      </c>
      <c r="B17" s="342" t="e">
        <f>IF('C'!D22="",banana!A62&amp;" 年 "&amp;banana!C62&amp;" 月 ～ "&amp;IF(banana!A62&lt;&gt;banana!A63,banana!A63&amp;" 年 ","")&amp;banana!C63&amp;" 月","")</f>
        <v>#N/A</v>
      </c>
      <c r="C17" s="342"/>
      <c r="D17" s="339"/>
      <c r="E17" s="167"/>
      <c r="F17" s="168">
        <f>IF('C'!D22="",1,"")</f>
        <v>1</v>
      </c>
      <c r="G17" s="168"/>
      <c r="H17" s="338"/>
      <c r="I17" s="339"/>
    </row>
    <row r="18" spans="1:9" ht="12.65" customHeight="1" x14ac:dyDescent="0.55000000000000004">
      <c r="A18" s="155"/>
      <c r="B18" s="156" t="e">
        <f>IF('C'!D22="",IF(banana!$E$68,banana!$E$116,"-"),"")</f>
        <v>#N/A</v>
      </c>
      <c r="C18" s="157" t="e">
        <f>banana!$E$155</f>
        <v>#N/A</v>
      </c>
      <c r="D18" s="158" t="e">
        <f>IF(banana!$E$68,banana!A155,"")</f>
        <v>#N/A</v>
      </c>
      <c r="E18" s="167" t="e">
        <f>IF(banana!$E$68,banana!$E$166,"")</f>
        <v>#N/A</v>
      </c>
      <c r="F18" s="168"/>
      <c r="G18" s="171" t="str">
        <f>IF(ISNUMBER(E18),1,"")</f>
        <v/>
      </c>
      <c r="H18" s="332" t="str">
        <f>IF(ISNUMBER(E18),E18*G18,"")</f>
        <v/>
      </c>
      <c r="I18" s="333"/>
    </row>
    <row r="19" spans="1:9" ht="12.65" customHeight="1" x14ac:dyDescent="0.55000000000000004">
      <c r="A19" s="155"/>
      <c r="B19" s="156"/>
      <c r="C19" s="156" t="e">
        <f>IF(banana!$E$68,"オプション","")</f>
        <v>#N/A</v>
      </c>
      <c r="D19" s="158"/>
      <c r="E19" s="167" t="e">
        <f>IF(banana!$E$68,banana!$E$177,"")</f>
        <v>#N/A</v>
      </c>
      <c r="F19" s="168"/>
      <c r="G19" s="171" t="str">
        <f t="shared" ref="G19:G41" si="0">IF(ISNUMBER(E19),1,"")</f>
        <v/>
      </c>
      <c r="H19" s="332" t="str">
        <f t="shared" ref="H19:H41" si="1">IF(ISNUMBER(E19),E19*G19,"")</f>
        <v/>
      </c>
      <c r="I19" s="333"/>
    </row>
    <row r="20" spans="1:9" ht="12.65" customHeight="1" x14ac:dyDescent="0.55000000000000004">
      <c r="A20" s="155"/>
      <c r="B20" s="156" t="e">
        <f>IF('C'!D22="",IF(banana!$F$68,banana!$F$116,"-"),"")</f>
        <v>#N/A</v>
      </c>
      <c r="C20" s="157" t="e">
        <f>banana!$F$155</f>
        <v>#N/A</v>
      </c>
      <c r="D20" s="158" t="e">
        <f>IF(banana!$F$68,banana!A155,"")</f>
        <v>#N/A</v>
      </c>
      <c r="E20" s="167" t="e">
        <f>IF(banana!$F$68,banana!$F$166,"")</f>
        <v>#N/A</v>
      </c>
      <c r="F20" s="168"/>
      <c r="G20" s="171" t="str">
        <f t="shared" si="0"/>
        <v/>
      </c>
      <c r="H20" s="332" t="str">
        <f t="shared" si="1"/>
        <v/>
      </c>
      <c r="I20" s="333"/>
    </row>
    <row r="21" spans="1:9" ht="12.65" customHeight="1" x14ac:dyDescent="0.55000000000000004">
      <c r="A21" s="155"/>
      <c r="B21" s="156"/>
      <c r="C21" s="156" t="e">
        <f>IF(banana!$F$68,"オプション","")</f>
        <v>#N/A</v>
      </c>
      <c r="D21" s="158"/>
      <c r="E21" s="167" t="e">
        <f>IF(banana!$F$68,banana!$F$177,"")</f>
        <v>#N/A</v>
      </c>
      <c r="F21" s="168"/>
      <c r="G21" s="171" t="str">
        <f t="shared" si="0"/>
        <v/>
      </c>
      <c r="H21" s="332" t="str">
        <f t="shared" si="1"/>
        <v/>
      </c>
      <c r="I21" s="333"/>
    </row>
    <row r="22" spans="1:9" ht="12.65" customHeight="1" x14ac:dyDescent="0.55000000000000004">
      <c r="A22" s="155"/>
      <c r="B22" s="156" t="e">
        <f>IF('C'!D22="",IF(banana!$G$68,banana!$G$116,"-"),"")</f>
        <v>#N/A</v>
      </c>
      <c r="C22" s="157" t="e">
        <f>banana!$G$155</f>
        <v>#N/A</v>
      </c>
      <c r="D22" s="158" t="e">
        <f>IF(banana!$G$68,banana!A155,"")</f>
        <v>#N/A</v>
      </c>
      <c r="E22" s="167" t="e">
        <f>IF(banana!$G$68,banana!$G$166,"")</f>
        <v>#N/A</v>
      </c>
      <c r="F22" s="168"/>
      <c r="G22" s="171" t="str">
        <f t="shared" si="0"/>
        <v/>
      </c>
      <c r="H22" s="332" t="str">
        <f t="shared" si="1"/>
        <v/>
      </c>
      <c r="I22" s="333"/>
    </row>
    <row r="23" spans="1:9" ht="12.65" customHeight="1" x14ac:dyDescent="0.55000000000000004">
      <c r="A23" s="155"/>
      <c r="B23" s="156"/>
      <c r="C23" s="156" t="e">
        <f>IF(banana!$G$68,"オプション","")</f>
        <v>#N/A</v>
      </c>
      <c r="D23" s="158"/>
      <c r="E23" s="167" t="e">
        <f>IF(banana!$G$68,banana!$G$177,"")</f>
        <v>#N/A</v>
      </c>
      <c r="F23" s="168"/>
      <c r="G23" s="171" t="str">
        <f t="shared" si="0"/>
        <v/>
      </c>
      <c r="H23" s="332" t="str">
        <f t="shared" si="1"/>
        <v/>
      </c>
      <c r="I23" s="333"/>
    </row>
    <row r="24" spans="1:9" ht="12.65" customHeight="1" x14ac:dyDescent="0.55000000000000004">
      <c r="A24" s="155"/>
      <c r="B24" s="156" t="e">
        <f>IF('C'!D22="",IF(banana!$H$68,banana!$H$116,"-"),"")</f>
        <v>#N/A</v>
      </c>
      <c r="C24" s="157" t="e">
        <f>banana!$H$155</f>
        <v>#N/A</v>
      </c>
      <c r="D24" s="158" t="e">
        <f>IF(banana!$H$68,banana!A155,"")</f>
        <v>#N/A</v>
      </c>
      <c r="E24" s="167" t="e">
        <f>IF(banana!$H$68,banana!$H$166,"")</f>
        <v>#N/A</v>
      </c>
      <c r="F24" s="168"/>
      <c r="G24" s="171" t="str">
        <f t="shared" si="0"/>
        <v/>
      </c>
      <c r="H24" s="332" t="str">
        <f t="shared" si="1"/>
        <v/>
      </c>
      <c r="I24" s="333"/>
    </row>
    <row r="25" spans="1:9" ht="12.65" customHeight="1" x14ac:dyDescent="0.55000000000000004">
      <c r="A25" s="155"/>
      <c r="B25" s="156"/>
      <c r="C25" s="156" t="e">
        <f>IF(banana!$H$68,"オプション","")</f>
        <v>#N/A</v>
      </c>
      <c r="D25" s="158"/>
      <c r="E25" s="167" t="e">
        <f>IF(banana!$H$68,banana!$H$177,"")</f>
        <v>#N/A</v>
      </c>
      <c r="F25" s="168"/>
      <c r="G25" s="171" t="str">
        <f t="shared" si="0"/>
        <v/>
      </c>
      <c r="H25" s="332" t="str">
        <f t="shared" si="1"/>
        <v/>
      </c>
      <c r="I25" s="333"/>
    </row>
    <row r="26" spans="1:9" ht="12.65" customHeight="1" x14ac:dyDescent="0.55000000000000004">
      <c r="A26" s="155"/>
      <c r="B26" s="156" t="e">
        <f>IF('C'!D22="",IF(banana!$I$68,banana!$I$116,"-"),"")</f>
        <v>#N/A</v>
      </c>
      <c r="C26" s="157" t="e">
        <f>banana!$I$155</f>
        <v>#N/A</v>
      </c>
      <c r="D26" s="158" t="e">
        <f>IF(banana!$I$68,banana!A155,"")</f>
        <v>#N/A</v>
      </c>
      <c r="E26" s="167" t="e">
        <f>IF(banana!$I$68,banana!$I$166,"")</f>
        <v>#N/A</v>
      </c>
      <c r="F26" s="168"/>
      <c r="G26" s="171" t="str">
        <f t="shared" si="0"/>
        <v/>
      </c>
      <c r="H26" s="332" t="str">
        <f t="shared" si="1"/>
        <v/>
      </c>
      <c r="I26" s="333"/>
    </row>
    <row r="27" spans="1:9" ht="12.65" customHeight="1" x14ac:dyDescent="0.55000000000000004">
      <c r="A27" s="155"/>
      <c r="B27" s="156"/>
      <c r="C27" s="156" t="e">
        <f>IF(banana!$I$68,"オプション","")</f>
        <v>#N/A</v>
      </c>
      <c r="D27" s="158"/>
      <c r="E27" s="167" t="e">
        <f>IF(banana!$I$68,banana!$I$177,"")</f>
        <v>#N/A</v>
      </c>
      <c r="F27" s="168"/>
      <c r="G27" s="171" t="str">
        <f t="shared" si="0"/>
        <v/>
      </c>
      <c r="H27" s="332" t="str">
        <f t="shared" si="1"/>
        <v/>
      </c>
      <c r="I27" s="333"/>
    </row>
    <row r="28" spans="1:9" ht="12.65" customHeight="1" x14ac:dyDescent="0.55000000000000004">
      <c r="A28" s="155"/>
      <c r="B28" s="156" t="e">
        <f>IF('C'!D22="",IF(banana!$J$68,banana!$J$116,"-"),"")</f>
        <v>#N/A</v>
      </c>
      <c r="C28" s="157" t="e">
        <f>banana!$J$155</f>
        <v>#N/A</v>
      </c>
      <c r="D28" s="158" t="e">
        <f>IF(banana!$J$68,banana!A155,"")</f>
        <v>#N/A</v>
      </c>
      <c r="E28" s="167" t="e">
        <f>IF(banana!$J$68,banana!$J$166,"")</f>
        <v>#N/A</v>
      </c>
      <c r="F28" s="168"/>
      <c r="G28" s="171" t="str">
        <f t="shared" si="0"/>
        <v/>
      </c>
      <c r="H28" s="332" t="str">
        <f t="shared" si="1"/>
        <v/>
      </c>
      <c r="I28" s="333"/>
    </row>
    <row r="29" spans="1:9" ht="12.65" customHeight="1" x14ac:dyDescent="0.55000000000000004">
      <c r="A29" s="155"/>
      <c r="B29" s="156"/>
      <c r="C29" s="156" t="e">
        <f>IF(banana!$J$68,"オプション","")</f>
        <v>#N/A</v>
      </c>
      <c r="D29" s="158"/>
      <c r="E29" s="167" t="e">
        <f>IF(banana!$J$68,banana!$J$177,"")</f>
        <v>#N/A</v>
      </c>
      <c r="F29" s="168"/>
      <c r="G29" s="171" t="str">
        <f t="shared" si="0"/>
        <v/>
      </c>
      <c r="H29" s="332" t="str">
        <f t="shared" si="1"/>
        <v/>
      </c>
      <c r="I29" s="333"/>
    </row>
    <row r="30" spans="1:9" ht="12.65" customHeight="1" x14ac:dyDescent="0.55000000000000004">
      <c r="A30" s="155"/>
      <c r="B30" s="156" t="e">
        <f>IF('C'!D22="",IF(banana!$K$68,banana!$K$116,"-"),"")</f>
        <v>#N/A</v>
      </c>
      <c r="C30" s="157" t="e">
        <f>banana!$K$155</f>
        <v>#N/A</v>
      </c>
      <c r="D30" s="158" t="e">
        <f>IF(banana!$K$68,banana!A155,"")</f>
        <v>#N/A</v>
      </c>
      <c r="E30" s="167" t="e">
        <f>IF(banana!$K$68,banana!$K$166,"")</f>
        <v>#N/A</v>
      </c>
      <c r="F30" s="168"/>
      <c r="G30" s="171" t="str">
        <f t="shared" si="0"/>
        <v/>
      </c>
      <c r="H30" s="332" t="str">
        <f t="shared" si="1"/>
        <v/>
      </c>
      <c r="I30" s="333"/>
    </row>
    <row r="31" spans="1:9" ht="12.65" customHeight="1" x14ac:dyDescent="0.55000000000000004">
      <c r="A31" s="155"/>
      <c r="B31" s="156"/>
      <c r="C31" s="156" t="e">
        <f>IF(banana!$K$68,"オプション","")</f>
        <v>#N/A</v>
      </c>
      <c r="D31" s="158"/>
      <c r="E31" s="167" t="e">
        <f>IF(banana!$K$68,banana!$K$177,"")</f>
        <v>#N/A</v>
      </c>
      <c r="F31" s="168"/>
      <c r="G31" s="171" t="str">
        <f t="shared" si="0"/>
        <v/>
      </c>
      <c r="H31" s="332" t="str">
        <f t="shared" si="1"/>
        <v/>
      </c>
      <c r="I31" s="333"/>
    </row>
    <row r="32" spans="1:9" ht="12.65" customHeight="1" x14ac:dyDescent="0.55000000000000004">
      <c r="A32" s="155"/>
      <c r="B32" s="156" t="e">
        <f>IF('C'!D22="",IF(banana!$L$68,banana!$L$116,"-"),"")</f>
        <v>#N/A</v>
      </c>
      <c r="C32" s="157" t="e">
        <f>banana!$L$155</f>
        <v>#N/A</v>
      </c>
      <c r="D32" s="158" t="e">
        <f>IF(banana!$L$68,banana!A155,"")</f>
        <v>#N/A</v>
      </c>
      <c r="E32" s="167" t="e">
        <f>IF(banana!$L$68,banana!$L$166,"")</f>
        <v>#N/A</v>
      </c>
      <c r="F32" s="168"/>
      <c r="G32" s="171" t="str">
        <f t="shared" si="0"/>
        <v/>
      </c>
      <c r="H32" s="332" t="str">
        <f t="shared" si="1"/>
        <v/>
      </c>
      <c r="I32" s="333"/>
    </row>
    <row r="33" spans="1:9" ht="12.65" customHeight="1" x14ac:dyDescent="0.55000000000000004">
      <c r="A33" s="155"/>
      <c r="B33" s="156"/>
      <c r="C33" s="156" t="e">
        <f>IF(banana!$L$68,"オプション","")</f>
        <v>#N/A</v>
      </c>
      <c r="D33" s="158"/>
      <c r="E33" s="167" t="e">
        <f>IF(banana!$L$68,banana!$L$177,"")</f>
        <v>#N/A</v>
      </c>
      <c r="F33" s="168"/>
      <c r="G33" s="171" t="str">
        <f t="shared" si="0"/>
        <v/>
      </c>
      <c r="H33" s="332" t="str">
        <f t="shared" si="1"/>
        <v/>
      </c>
      <c r="I33" s="333"/>
    </row>
    <row r="34" spans="1:9" ht="12.65" customHeight="1" x14ac:dyDescent="0.55000000000000004">
      <c r="A34" s="155"/>
      <c r="B34" s="156" t="e">
        <f>IF('C'!D22="",IF(banana!$M$68,banana!$M$116,"-"),"")</f>
        <v>#N/A</v>
      </c>
      <c r="C34" s="157" t="e">
        <f>banana!$M$155</f>
        <v>#N/A</v>
      </c>
      <c r="D34" s="158" t="e">
        <f>IF(banana!$M$68,banana!A155,"")</f>
        <v>#N/A</v>
      </c>
      <c r="E34" s="168" t="e">
        <f>IF(banana!$M$68,banana!$M$166,"")</f>
        <v>#N/A</v>
      </c>
      <c r="F34" s="168"/>
      <c r="G34" s="171" t="str">
        <f t="shared" si="0"/>
        <v/>
      </c>
      <c r="H34" s="332" t="str">
        <f t="shared" si="1"/>
        <v/>
      </c>
      <c r="I34" s="333"/>
    </row>
    <row r="35" spans="1:9" ht="12.65" customHeight="1" x14ac:dyDescent="0.55000000000000004">
      <c r="A35" s="155"/>
      <c r="B35" s="156"/>
      <c r="C35" s="159" t="e">
        <f>IF(banana!$M$68,"オプション","")</f>
        <v>#N/A</v>
      </c>
      <c r="D35" s="160"/>
      <c r="E35" s="168" t="e">
        <f>IF(banana!$M$68,banana!$M$177,"")</f>
        <v>#N/A</v>
      </c>
      <c r="F35" s="168"/>
      <c r="G35" s="171" t="str">
        <f t="shared" si="0"/>
        <v/>
      </c>
      <c r="H35" s="332" t="str">
        <f t="shared" si="1"/>
        <v/>
      </c>
      <c r="I35" s="333"/>
    </row>
    <row r="36" spans="1:9" ht="12.65" customHeight="1" x14ac:dyDescent="0.55000000000000004">
      <c r="A36" s="155"/>
      <c r="B36" s="156" t="e">
        <f>IF('C'!D22="",IF(banana!$N$68,banana!$N$116,"-"),"")</f>
        <v>#N/A</v>
      </c>
      <c r="C36" s="161" t="e">
        <f>banana!$N$155</f>
        <v>#N/A</v>
      </c>
      <c r="D36" s="160" t="e">
        <f>IF(banana!$N$68,banana!A155,"")</f>
        <v>#N/A</v>
      </c>
      <c r="E36" s="168" t="e">
        <f>IF(banana!$N$68,banana!$N$166,"")</f>
        <v>#N/A</v>
      </c>
      <c r="F36" s="168"/>
      <c r="G36" s="171" t="str">
        <f t="shared" si="0"/>
        <v/>
      </c>
      <c r="H36" s="332" t="str">
        <f t="shared" si="1"/>
        <v/>
      </c>
      <c r="I36" s="333"/>
    </row>
    <row r="37" spans="1:9" ht="12.65" customHeight="1" x14ac:dyDescent="0.55000000000000004">
      <c r="A37" s="155"/>
      <c r="B37" s="156"/>
      <c r="C37" s="159" t="e">
        <f>IF(banana!$N$68,"オプション","")</f>
        <v>#N/A</v>
      </c>
      <c r="D37" s="160"/>
      <c r="E37" s="168" t="e">
        <f>IF(banana!$N$68,banana!$N$177,"")</f>
        <v>#N/A</v>
      </c>
      <c r="F37" s="168"/>
      <c r="G37" s="171" t="str">
        <f t="shared" si="0"/>
        <v/>
      </c>
      <c r="H37" s="332" t="str">
        <f t="shared" si="1"/>
        <v/>
      </c>
      <c r="I37" s="333"/>
    </row>
    <row r="38" spans="1:9" ht="12.65" customHeight="1" x14ac:dyDescent="0.55000000000000004">
      <c r="A38" s="155"/>
      <c r="B38" s="156" t="e">
        <f>IF('C'!D22="",IF(banana!$O$68,banana!$O$116,"-"),"")</f>
        <v>#N/A</v>
      </c>
      <c r="C38" s="161" t="e">
        <f>banana!$O$155</f>
        <v>#N/A</v>
      </c>
      <c r="D38" s="160" t="e">
        <f>IF(banana!$O$68,banana!A155,"")</f>
        <v>#N/A</v>
      </c>
      <c r="E38" s="168" t="e">
        <f>IF(banana!$O$68,banana!$O$166,"")</f>
        <v>#N/A</v>
      </c>
      <c r="F38" s="168"/>
      <c r="G38" s="171" t="str">
        <f t="shared" si="0"/>
        <v/>
      </c>
      <c r="H38" s="332" t="str">
        <f t="shared" si="1"/>
        <v/>
      </c>
      <c r="I38" s="333"/>
    </row>
    <row r="39" spans="1:9" ht="12.65" customHeight="1" x14ac:dyDescent="0.55000000000000004">
      <c r="A39" s="155"/>
      <c r="B39" s="156"/>
      <c r="C39" s="159" t="e">
        <f>IF(banana!$O$68,"オプション","")</f>
        <v>#N/A</v>
      </c>
      <c r="D39" s="160"/>
      <c r="E39" s="168" t="e">
        <f>IF(banana!$O$68,banana!$O$177,"")</f>
        <v>#N/A</v>
      </c>
      <c r="F39" s="168"/>
      <c r="G39" s="171" t="str">
        <f t="shared" si="0"/>
        <v/>
      </c>
      <c r="H39" s="332" t="str">
        <f t="shared" si="1"/>
        <v/>
      </c>
      <c r="I39" s="333"/>
    </row>
    <row r="40" spans="1:9" ht="12.65" customHeight="1" x14ac:dyDescent="0.55000000000000004">
      <c r="A40" s="155"/>
      <c r="B40" s="156" t="e">
        <f>IF('C'!D22="",IF(banana!$P$68,banana!$P$116,"-"),"")</f>
        <v>#N/A</v>
      </c>
      <c r="C40" s="157" t="e">
        <f>banana!$P$155</f>
        <v>#N/A</v>
      </c>
      <c r="D40" s="158" t="e">
        <f>IF(banana!$P$68,banana!A155,"")</f>
        <v>#N/A</v>
      </c>
      <c r="E40" s="168" t="e">
        <f>IF(banana!$P$68,banana!$P$166,"")</f>
        <v>#N/A</v>
      </c>
      <c r="F40" s="168"/>
      <c r="G40" s="171" t="str">
        <f t="shared" si="0"/>
        <v/>
      </c>
      <c r="H40" s="332" t="str">
        <f t="shared" si="1"/>
        <v/>
      </c>
      <c r="I40" s="333"/>
    </row>
    <row r="41" spans="1:9" ht="12.65" customHeight="1" x14ac:dyDescent="0.55000000000000004">
      <c r="A41" s="162"/>
      <c r="B41" s="163"/>
      <c r="C41" s="164" t="e">
        <f>IF(banana!$P$68,"オプション","")</f>
        <v>#N/A</v>
      </c>
      <c r="D41" s="165"/>
      <c r="E41" s="169" t="e">
        <f>IF(banana!$P$68,banana!$P$177,"")</f>
        <v>#N/A</v>
      </c>
      <c r="F41" s="169"/>
      <c r="G41" s="172" t="str">
        <f t="shared" si="0"/>
        <v/>
      </c>
      <c r="H41" s="334" t="str">
        <f t="shared" si="1"/>
        <v/>
      </c>
      <c r="I41" s="335"/>
    </row>
    <row r="42" spans="1:9" x14ac:dyDescent="0.55000000000000004">
      <c r="A42" s="149"/>
      <c r="B42" s="150"/>
      <c r="C42" s="150"/>
      <c r="D42" s="150"/>
      <c r="E42" s="150"/>
      <c r="F42" s="150"/>
      <c r="G42" s="151" t="s">
        <v>158</v>
      </c>
      <c r="H42" s="336">
        <f>SUM(H18:I41)</f>
        <v>0</v>
      </c>
      <c r="I42" s="337"/>
    </row>
    <row r="43" spans="1:9" ht="5.15" customHeight="1" x14ac:dyDescent="0.55000000000000004">
      <c r="C43" s="4"/>
      <c r="D43" s="4"/>
      <c r="E43" s="4"/>
    </row>
    <row r="44" spans="1:9" ht="56.5" customHeight="1" x14ac:dyDescent="0.55000000000000004">
      <c r="A44" s="152" t="s">
        <v>150</v>
      </c>
      <c r="B44" s="352">
        <f>IF('C'!D20&lt;&gt;"",'C'!D20,'C'!F20)</f>
        <v>0</v>
      </c>
      <c r="C44" s="353"/>
      <c r="D44" s="353"/>
      <c r="E44" s="353"/>
      <c r="F44" s="353"/>
      <c r="G44" s="353"/>
      <c r="H44" s="353"/>
      <c r="I44" s="354"/>
    </row>
    <row r="45" spans="1:9" ht="5.15" customHeight="1" x14ac:dyDescent="0.55000000000000004">
      <c r="C45" s="4"/>
      <c r="D45" s="4"/>
      <c r="E45" s="4"/>
    </row>
    <row r="46" spans="1:9" x14ac:dyDescent="0.55000000000000004">
      <c r="A46" s="350" t="s">
        <v>159</v>
      </c>
      <c r="B46" s="351"/>
      <c r="C46" s="351"/>
      <c r="D46" s="351"/>
      <c r="E46" s="351"/>
      <c r="F46" s="351"/>
      <c r="G46" s="351"/>
      <c r="H46" s="351"/>
      <c r="I46" s="351"/>
    </row>
    <row r="47" spans="1:9" x14ac:dyDescent="0.55000000000000004">
      <c r="A47" s="330" t="s">
        <v>160</v>
      </c>
      <c r="B47" s="331"/>
      <c r="C47" s="331"/>
      <c r="D47" s="331"/>
      <c r="E47" s="331"/>
      <c r="F47" s="331"/>
      <c r="G47" s="331"/>
      <c r="H47" s="331"/>
      <c r="I47" s="331"/>
    </row>
  </sheetData>
  <mergeCells count="42">
    <mergeCell ref="G1:I2"/>
    <mergeCell ref="B9:G10"/>
    <mergeCell ref="A13:C13"/>
    <mergeCell ref="D13:F13"/>
    <mergeCell ref="G13:I13"/>
    <mergeCell ref="H4:I4"/>
    <mergeCell ref="H23:I23"/>
    <mergeCell ref="H24:I24"/>
    <mergeCell ref="H25:I25"/>
    <mergeCell ref="H26:I26"/>
    <mergeCell ref="A46:I46"/>
    <mergeCell ref="B44:I44"/>
    <mergeCell ref="H33:I33"/>
    <mergeCell ref="H34:I34"/>
    <mergeCell ref="H36:I36"/>
    <mergeCell ref="H37:I37"/>
    <mergeCell ref="H38:I38"/>
    <mergeCell ref="H39:I39"/>
    <mergeCell ref="H35:I35"/>
    <mergeCell ref="B16:D16"/>
    <mergeCell ref="B17:D17"/>
    <mergeCell ref="H16:I16"/>
    <mergeCell ref="B5:G6"/>
    <mergeCell ref="B7:G8"/>
    <mergeCell ref="A15:D15"/>
    <mergeCell ref="H15:I15"/>
    <mergeCell ref="A47:I47"/>
    <mergeCell ref="H40:I40"/>
    <mergeCell ref="H41:I41"/>
    <mergeCell ref="H42:I42"/>
    <mergeCell ref="H17:I17"/>
    <mergeCell ref="H27:I27"/>
    <mergeCell ref="H28:I28"/>
    <mergeCell ref="H29:I29"/>
    <mergeCell ref="H30:I30"/>
    <mergeCell ref="H31:I31"/>
    <mergeCell ref="H32:I32"/>
    <mergeCell ref="H18:I18"/>
    <mergeCell ref="H19:I19"/>
    <mergeCell ref="H20:I20"/>
    <mergeCell ref="H21:I21"/>
    <mergeCell ref="H22:I22"/>
  </mergeCells>
  <phoneticPr fontId="2"/>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activeCell="G1" sqref="G1:I2"/>
    </sheetView>
  </sheetViews>
  <sheetFormatPr defaultRowHeight="18" x14ac:dyDescent="0.55000000000000004"/>
  <cols>
    <col min="4" max="4" width="7.5" customWidth="1"/>
    <col min="5" max="5" width="11.08203125" customWidth="1"/>
    <col min="6" max="7" width="7.33203125" customWidth="1"/>
    <col min="8" max="8" width="9" customWidth="1"/>
  </cols>
  <sheetData>
    <row r="1" spans="1:9" ht="18" customHeight="1" x14ac:dyDescent="0.55000000000000004">
      <c r="D1" s="136"/>
      <c r="E1" s="146"/>
      <c r="F1" s="146"/>
      <c r="G1" s="355" t="str">
        <f>IF('C'!D9&lt;&gt;"",'C'!D9,'C'!F9)</f>
        <v>請求明細書</v>
      </c>
      <c r="H1" s="355"/>
      <c r="I1" s="355"/>
    </row>
    <row r="2" spans="1:9" ht="18" customHeight="1" x14ac:dyDescent="0.55000000000000004">
      <c r="D2" s="137"/>
      <c r="E2" s="146"/>
      <c r="F2" s="146"/>
      <c r="G2" s="355"/>
      <c r="H2" s="355"/>
      <c r="I2" s="355"/>
    </row>
    <row r="3" spans="1:9" ht="18" customHeight="1" x14ac:dyDescent="0.55000000000000004">
      <c r="D3" s="137"/>
      <c r="E3" s="140"/>
      <c r="F3" s="141"/>
      <c r="G3" s="141"/>
      <c r="H3" s="141"/>
      <c r="I3" s="142"/>
    </row>
    <row r="4" spans="1:9" ht="18" customHeight="1" x14ac:dyDescent="0.55000000000000004">
      <c r="D4" s="137"/>
      <c r="E4" s="140"/>
      <c r="F4" s="141"/>
      <c r="G4" s="144" t="str">
        <f>'C'!B16</f>
        <v>取引先 ID</v>
      </c>
      <c r="H4" s="362" t="str">
        <f>IF('C'!D16&lt;&gt;"",'C'!D16,'C'!F16)</f>
        <v xml:space="preserve"> </v>
      </c>
      <c r="I4" s="362"/>
    </row>
    <row r="5" spans="1:9" ht="18" customHeight="1" x14ac:dyDescent="0.55000000000000004">
      <c r="A5" s="144" t="str">
        <f>'C'!B11</f>
        <v>請求先</v>
      </c>
      <c r="B5" s="345" t="str">
        <f>IF('C'!D11&lt;&gt;"",'C'!D11,'C'!F11)&amp;" "&amp;IF('C'!D12&lt;&gt;"",'C'!D12,'C'!F12)</f>
        <v>0 御中</v>
      </c>
      <c r="C5" s="345"/>
      <c r="D5" s="345"/>
      <c r="E5" s="345"/>
      <c r="F5" s="345"/>
      <c r="G5" s="345"/>
      <c r="H5" s="141"/>
      <c r="I5" s="142"/>
    </row>
    <row r="6" spans="1:9" ht="18" customHeight="1" x14ac:dyDescent="0.55000000000000004">
      <c r="B6" s="345"/>
      <c r="C6" s="345"/>
      <c r="D6" s="345"/>
      <c r="E6" s="345"/>
      <c r="F6" s="345"/>
      <c r="G6" s="345"/>
      <c r="H6" s="141"/>
      <c r="I6" s="142"/>
    </row>
    <row r="7" spans="1:9" ht="18" customHeight="1" x14ac:dyDescent="0.55000000000000004">
      <c r="A7" s="144" t="str">
        <f>'C'!B13</f>
        <v>請求先住所</v>
      </c>
      <c r="B7" s="345" t="str">
        <f>"〒"&amp;IF('C'!D13&lt;&gt;"",'C'!D13,'C'!F13)&amp;" "&amp;IF('C'!D14&lt;&gt;"",'C'!D14,'C'!F14)</f>
        <v>〒FALSE 様</v>
      </c>
      <c r="C7" s="345"/>
      <c r="D7" s="345"/>
      <c r="E7" s="345"/>
      <c r="F7" s="345"/>
      <c r="G7" s="345"/>
      <c r="H7" s="141"/>
      <c r="I7" s="142"/>
    </row>
    <row r="8" spans="1:9" ht="18" customHeight="1" x14ac:dyDescent="0.55000000000000004">
      <c r="B8" s="345"/>
      <c r="C8" s="345"/>
      <c r="D8" s="345"/>
      <c r="E8" s="345"/>
      <c r="F8" s="345"/>
      <c r="G8" s="345"/>
      <c r="H8" s="141"/>
      <c r="I8" s="142"/>
    </row>
    <row r="9" spans="1:9" ht="18" customHeight="1" x14ac:dyDescent="0.55000000000000004">
      <c r="A9" s="144" t="str">
        <f>'C'!B15</f>
        <v>電話</v>
      </c>
      <c r="B9" s="345" t="b">
        <f>IF('C'!D15&lt;&gt;"",'C'!D15,'C'!F15)</f>
        <v>0</v>
      </c>
      <c r="C9" s="345"/>
      <c r="D9" s="345"/>
      <c r="E9" s="345"/>
      <c r="F9" s="345"/>
      <c r="G9" s="345"/>
      <c r="H9" s="141"/>
      <c r="I9" s="142"/>
    </row>
    <row r="10" spans="1:9" ht="18" customHeight="1" x14ac:dyDescent="0.55000000000000004">
      <c r="B10" s="345"/>
      <c r="C10" s="345"/>
      <c r="D10" s="345"/>
      <c r="E10" s="345"/>
      <c r="F10" s="345"/>
      <c r="G10" s="345"/>
      <c r="H10" s="141"/>
      <c r="I10" s="142"/>
    </row>
    <row r="11" spans="1:9" ht="11.15" customHeight="1" x14ac:dyDescent="0.55000000000000004">
      <c r="D11" s="137"/>
      <c r="E11" s="140"/>
      <c r="F11" s="141"/>
      <c r="G11" s="141"/>
      <c r="H11" s="141"/>
      <c r="I11" s="142"/>
    </row>
    <row r="12" spans="1:9" x14ac:dyDescent="0.55000000000000004">
      <c r="B12" s="147" t="str">
        <f>'C'!B17</f>
        <v>品名</v>
      </c>
      <c r="E12" s="147" t="str">
        <f>'C'!B18</f>
        <v>支払形式</v>
      </c>
      <c r="F12" s="143"/>
      <c r="G12" s="143"/>
      <c r="H12" s="147" t="str">
        <f>'C'!B19</f>
        <v>支払期日</v>
      </c>
      <c r="I12" s="143"/>
    </row>
    <row r="13" spans="1:9" ht="27.65" customHeight="1" x14ac:dyDescent="0.55000000000000004">
      <c r="A13" s="356" t="e">
        <f>IF('C'!D17&lt;&gt;"",'C'!D17,'C'!F17)&amp;IF('C'!D23=""," "&amp;IF('C'!D24&lt;&gt;"",'C'!D24,'C'!F24)&amp;"分","")</f>
        <v>#N/A</v>
      </c>
      <c r="B13" s="357"/>
      <c r="C13" s="358"/>
      <c r="D13" s="356" t="b">
        <f>IF('C'!D18&lt;&gt;"",'C'!D18,'C'!F18)</f>
        <v>0</v>
      </c>
      <c r="E13" s="357"/>
      <c r="F13" s="358"/>
      <c r="G13" s="359" t="str">
        <f>IF('C'!D19&lt;&gt;"",'C'!D19,'C'!F19)</f>
        <v>請求日から 30 日以内</v>
      </c>
      <c r="H13" s="360"/>
      <c r="I13" s="361"/>
    </row>
    <row r="14" spans="1:9" ht="5.15" customHeight="1" x14ac:dyDescent="0.55000000000000004">
      <c r="F14" s="143"/>
      <c r="G14" s="143"/>
      <c r="H14" s="143"/>
      <c r="I14" s="143"/>
    </row>
    <row r="15" spans="1:9" x14ac:dyDescent="0.55000000000000004">
      <c r="A15" s="346" t="s">
        <v>151</v>
      </c>
      <c r="B15" s="347"/>
      <c r="C15" s="347"/>
      <c r="D15" s="348"/>
      <c r="E15" s="148" t="s">
        <v>152</v>
      </c>
      <c r="F15" s="148" t="s">
        <v>153</v>
      </c>
      <c r="G15" s="148" t="s">
        <v>154</v>
      </c>
      <c r="H15" s="349" t="s">
        <v>155</v>
      </c>
      <c r="I15" s="348"/>
    </row>
    <row r="16" spans="1:9" x14ac:dyDescent="0.55000000000000004">
      <c r="A16" s="365" t="s">
        <v>156</v>
      </c>
      <c r="B16" s="366"/>
      <c r="C16" s="176" t="e">
        <f>INDEX(banana!$E155:$P155,'C'!$G$24)</f>
        <v>#N/A</v>
      </c>
      <c r="D16" s="173"/>
      <c r="E16" s="175" t="e">
        <f>INDEX(banana!$E166:$P166,'C'!$G$24)</f>
        <v>#N/A</v>
      </c>
      <c r="F16" s="170" t="str">
        <f>IF(ISNUMBER(E16),1,"")</f>
        <v/>
      </c>
      <c r="G16" s="174"/>
      <c r="H16" s="332" t="str">
        <f>IF(ISNUMBER(E16),E16*F16,"")</f>
        <v/>
      </c>
      <c r="I16" s="333"/>
    </row>
    <row r="17" spans="1:9" x14ac:dyDescent="0.55000000000000004">
      <c r="A17" s="154" t="str">
        <f>banana!A25</f>
        <v>利用者</v>
      </c>
      <c r="B17" s="367" t="str">
        <f>REPUNAME&amp;" 様"</f>
        <v xml:space="preserve"> 様</v>
      </c>
      <c r="C17" s="367"/>
      <c r="D17" s="368"/>
      <c r="E17" s="167"/>
      <c r="F17" s="168"/>
      <c r="G17" s="168"/>
      <c r="H17" s="338"/>
      <c r="I17" s="339"/>
    </row>
    <row r="18" spans="1:9" ht="16" customHeight="1" x14ac:dyDescent="0.55000000000000004">
      <c r="A18" s="154" t="str">
        <f>IF('C'!D22="",'C'!B22,"")</f>
        <v>利用期間</v>
      </c>
      <c r="B18" s="342" t="e">
        <f>IF('C'!D22="",banana!A62&amp;" 年 "&amp;banana!C62&amp;" 月 ～ "&amp;IF(banana!A62&lt;&gt;banana!A63,banana!A63&amp;" 年 ","")&amp;banana!C63&amp;" 月","")</f>
        <v>#N/A</v>
      </c>
      <c r="C18" s="342"/>
      <c r="D18" s="339"/>
      <c r="E18" s="167"/>
      <c r="F18" s="168"/>
      <c r="G18" s="168"/>
      <c r="H18" s="338"/>
      <c r="I18" s="339"/>
    </row>
    <row r="19" spans="1:9" ht="12.65" customHeight="1" x14ac:dyDescent="0.55000000000000004">
      <c r="A19" s="155"/>
      <c r="B19" s="156"/>
      <c r="C19" s="157"/>
      <c r="D19" s="158"/>
      <c r="E19" s="167"/>
      <c r="F19" s="168"/>
      <c r="G19" s="171"/>
      <c r="H19" s="332"/>
      <c r="I19" s="333"/>
    </row>
    <row r="20" spans="1:9" ht="18" customHeight="1" x14ac:dyDescent="0.55000000000000004">
      <c r="A20" s="177" t="s">
        <v>157</v>
      </c>
      <c r="B20" s="156"/>
      <c r="C20" s="156"/>
      <c r="D20" s="158"/>
      <c r="E20" s="167"/>
      <c r="F20" s="168"/>
      <c r="G20" s="171"/>
      <c r="H20" s="332"/>
      <c r="I20" s="333"/>
    </row>
    <row r="21" spans="1:9" ht="12.65" customHeight="1" x14ac:dyDescent="0.55000000000000004">
      <c r="A21" s="178"/>
      <c r="B21" s="363" t="str">
        <f>banana!A167</f>
        <v>専有追加 (192 CPU コア単位)</v>
      </c>
      <c r="C21" s="363"/>
      <c r="D21" s="364"/>
      <c r="E21" s="167">
        <f>banana!$H48</f>
        <v>240000</v>
      </c>
      <c r="F21" s="168" t="e">
        <f>INDEX(banana!$E156:$P156,'C'!$G$24)</f>
        <v>#N/A</v>
      </c>
      <c r="G21" s="171"/>
      <c r="H21" s="332" t="e">
        <f>IF(ISNUMBER(E21),E21*F21,"")</f>
        <v>#N/A</v>
      </c>
      <c r="I21" s="333"/>
    </row>
    <row r="22" spans="1:9" ht="12.65" customHeight="1" x14ac:dyDescent="0.55000000000000004">
      <c r="A22" s="155"/>
      <c r="B22" s="363" t="str">
        <f>banana!A168</f>
        <v>共有追加 (310 CPU コア単位)</v>
      </c>
      <c r="C22" s="363"/>
      <c r="D22" s="364"/>
      <c r="E22" s="167">
        <f>banana!$H49</f>
        <v>38000</v>
      </c>
      <c r="F22" s="168" t="e">
        <f>INDEX(banana!$E157:$P157,'C'!$G$24)</f>
        <v>#N/A</v>
      </c>
      <c r="G22" s="171"/>
      <c r="H22" s="332" t="e">
        <f t="shared" ref="H22:H28" si="0">IF(ISNUMBER(E22),E22*F22,"")</f>
        <v>#N/A</v>
      </c>
      <c r="I22" s="333"/>
    </row>
    <row r="23" spans="1:9" ht="12.65" customHeight="1" x14ac:dyDescent="0.55000000000000004">
      <c r="A23" s="155"/>
      <c r="B23" s="363" t="str">
        <f>banana!A169</f>
        <v>計算ノード Fat 追加 (8 CPU コア単位)</v>
      </c>
      <c r="C23" s="363"/>
      <c r="D23" s="364"/>
      <c r="E23" s="167">
        <f>banana!$H50</f>
        <v>4500</v>
      </c>
      <c r="F23" s="168" t="e">
        <f>INDEX(banana!$E158:$P158,'C'!$G$24)</f>
        <v>#N/A</v>
      </c>
      <c r="G23" s="171"/>
      <c r="H23" s="332" t="e">
        <f t="shared" si="0"/>
        <v>#N/A</v>
      </c>
      <c r="I23" s="333"/>
    </row>
    <row r="24" spans="1:9" ht="12.65" customHeight="1" x14ac:dyDescent="0.55000000000000004">
      <c r="A24" s="155"/>
      <c r="B24" s="363" t="str">
        <f>banana!A170</f>
        <v>アクセラレータ V100 追加 (1 GPU 単位)</v>
      </c>
      <c r="C24" s="363"/>
      <c r="D24" s="364"/>
      <c r="E24" s="167">
        <f>banana!$H51</f>
        <v>22000</v>
      </c>
      <c r="F24" s="168" t="e">
        <f>INDEX(banana!$E159:$P159,'C'!$G$24)</f>
        <v>#N/A</v>
      </c>
      <c r="G24" s="171"/>
      <c r="H24" s="332" t="e">
        <f t="shared" si="0"/>
        <v>#N/A</v>
      </c>
      <c r="I24" s="333"/>
    </row>
    <row r="25" spans="1:9" ht="12.65" customHeight="1" x14ac:dyDescent="0.55000000000000004">
      <c r="A25" s="155"/>
      <c r="B25" s="363" t="str">
        <f>banana!A171</f>
        <v>アクセラレータ A100 追加 (1 GPU 単位)</v>
      </c>
      <c r="C25" s="363"/>
      <c r="D25" s="364"/>
      <c r="E25" s="167">
        <f>banana!$H52</f>
        <v>44000</v>
      </c>
      <c r="F25" s="168" t="e">
        <f>INDEX(banana!$E160:$P160,'C'!$G$24)</f>
        <v>#N/A</v>
      </c>
      <c r="G25" s="171"/>
      <c r="H25" s="332" t="e">
        <f t="shared" ref="H25" si="1">IF(ISNUMBER(E25),E25*F25,"")</f>
        <v>#N/A</v>
      </c>
      <c r="I25" s="333"/>
    </row>
    <row r="26" spans="1:9" ht="12.65" customHeight="1" x14ac:dyDescent="0.55000000000000004">
      <c r="A26" s="155"/>
      <c r="B26" s="363" t="str">
        <f>banana!A173</f>
        <v>ホーム Disk 容量追加 (1 TiB 単位)</v>
      </c>
      <c r="C26" s="363"/>
      <c r="D26" s="364"/>
      <c r="E26" s="167">
        <f>banana!$H54</f>
        <v>6000</v>
      </c>
      <c r="F26" s="168" t="e">
        <f>INDEX(banana!$E162:$P162,'C'!$G$24)</f>
        <v>#N/A</v>
      </c>
      <c r="G26" s="171"/>
      <c r="H26" s="332" t="e">
        <f t="shared" si="0"/>
        <v>#N/A</v>
      </c>
      <c r="I26" s="333"/>
    </row>
    <row r="27" spans="1:9" ht="12.65" customHeight="1" x14ac:dyDescent="0.55000000000000004">
      <c r="A27" s="155"/>
      <c r="B27" s="363" t="str">
        <f>banana!A174</f>
        <v>アーカイブ Disk 追加 (1 TiB 単位)</v>
      </c>
      <c r="C27" s="363"/>
      <c r="D27" s="364"/>
      <c r="E27" s="167">
        <f>banana!$H55</f>
        <v>300</v>
      </c>
      <c r="F27" s="168" t="e">
        <f>INDEX(banana!$E163:$P163,'C'!$G$24)</f>
        <v>#N/A</v>
      </c>
      <c r="G27" s="171"/>
      <c r="H27" s="332" t="e">
        <f t="shared" si="0"/>
        <v>#N/A</v>
      </c>
      <c r="I27" s="333"/>
    </row>
    <row r="28" spans="1:9" ht="12.65" customHeight="1" x14ac:dyDescent="0.55000000000000004">
      <c r="A28" s="155"/>
      <c r="B28" s="363" t="str">
        <f>banana!A175</f>
        <v>サポートポイント【SP】</v>
      </c>
      <c r="C28" s="363"/>
      <c r="D28" s="364"/>
      <c r="E28" s="167">
        <f>banana!$A$112</f>
        <v>5000</v>
      </c>
      <c r="F28" s="168" t="e">
        <f>INDEX(banana!$E164:$P164,'C'!$G$24)</f>
        <v>#N/A</v>
      </c>
      <c r="G28" s="171"/>
      <c r="H28" s="332" t="e">
        <f t="shared" si="0"/>
        <v>#N/A</v>
      </c>
      <c r="I28" s="333"/>
    </row>
    <row r="29" spans="1:9" ht="12.65" customHeight="1" x14ac:dyDescent="0.55000000000000004">
      <c r="A29" s="155"/>
      <c r="B29" s="156"/>
      <c r="C29" s="156"/>
      <c r="D29" s="158"/>
      <c r="E29" s="167"/>
      <c r="F29" s="168"/>
      <c r="G29" s="171"/>
      <c r="H29" s="332"/>
      <c r="I29" s="333"/>
    </row>
    <row r="30" spans="1:9" ht="18" customHeight="1" x14ac:dyDescent="0.55000000000000004">
      <c r="A30" s="177" t="s">
        <v>163</v>
      </c>
      <c r="B30" s="156"/>
      <c r="C30" s="157"/>
      <c r="D30" s="158"/>
      <c r="E30" s="167"/>
      <c r="F30" s="168"/>
      <c r="G30" s="171"/>
      <c r="H30" s="332"/>
      <c r="I30" s="333"/>
    </row>
    <row r="31" spans="1:9" ht="12.65" customHeight="1" x14ac:dyDescent="0.55000000000000004">
      <c r="A31" s="178" t="str">
        <f>banana!A167</f>
        <v>専有追加 (192 CPU コア単位)</v>
      </c>
      <c r="B31" s="156"/>
      <c r="C31" s="156"/>
      <c r="D31" s="184" t="e">
        <f>INDEX(banana!$E182:$P182,'C'!$G$24)</f>
        <v>#N/A</v>
      </c>
      <c r="E31" s="167"/>
      <c r="F31" s="168"/>
      <c r="G31" s="171"/>
      <c r="H31" s="332"/>
      <c r="I31" s="333"/>
    </row>
    <row r="32" spans="1:9" ht="12.65" customHeight="1" x14ac:dyDescent="0.55000000000000004">
      <c r="A32" s="178" t="str">
        <f>banana!A168</f>
        <v>共有追加 (310 CPU コア単位)</v>
      </c>
      <c r="B32" s="156"/>
      <c r="C32" s="157"/>
      <c r="D32" s="184" t="e">
        <f>INDEX(banana!$E183:$P183,'C'!$G$24)</f>
        <v>#N/A</v>
      </c>
      <c r="E32" s="167"/>
      <c r="F32" s="168"/>
      <c r="G32" s="171"/>
      <c r="H32" s="332"/>
      <c r="I32" s="333"/>
    </row>
    <row r="33" spans="1:9" ht="12.65" customHeight="1" x14ac:dyDescent="0.55000000000000004">
      <c r="A33" s="178" t="str">
        <f>banana!A169</f>
        <v>計算ノード Fat 追加 (8 CPU コア単位)</v>
      </c>
      <c r="B33" s="156"/>
      <c r="C33" s="156"/>
      <c r="D33" s="184" t="e">
        <f>INDEX(banana!$E184:$P184,'C'!$G$24)</f>
        <v>#N/A</v>
      </c>
      <c r="E33" s="167"/>
      <c r="F33" s="168"/>
      <c r="G33" s="171"/>
      <c r="H33" s="332"/>
      <c r="I33" s="333"/>
    </row>
    <row r="34" spans="1:9" ht="12.65" customHeight="1" x14ac:dyDescent="0.55000000000000004">
      <c r="A34" s="178" t="str">
        <f>banana!A170</f>
        <v>アクセラレータ V100 追加 (1 GPU 単位)</v>
      </c>
      <c r="B34" s="156"/>
      <c r="C34" s="157"/>
      <c r="D34" s="184" t="e">
        <f>INDEX(banana!$E185:$P185,'C'!$G$24)</f>
        <v>#N/A</v>
      </c>
      <c r="E34" s="167"/>
      <c r="F34" s="168"/>
      <c r="G34" s="171"/>
      <c r="H34" s="332"/>
      <c r="I34" s="333"/>
    </row>
    <row r="35" spans="1:9" ht="12.65" customHeight="1" x14ac:dyDescent="0.55000000000000004">
      <c r="A35" s="178" t="str">
        <f>banana!A171</f>
        <v>アクセラレータ A100 追加 (1 GPU 単位)</v>
      </c>
      <c r="B35" s="156"/>
      <c r="C35" s="157"/>
      <c r="D35" s="184" t="e">
        <f>INDEX(banana!$E186:$P186,'C'!$G$24)</f>
        <v>#N/A</v>
      </c>
      <c r="E35" s="167"/>
      <c r="F35" s="168"/>
      <c r="G35" s="171"/>
      <c r="H35" s="332"/>
      <c r="I35" s="333"/>
    </row>
    <row r="36" spans="1:9" ht="12.65" customHeight="1" x14ac:dyDescent="0.55000000000000004">
      <c r="A36" s="178" t="str">
        <f>banana!A188&amp;" "&amp;banana!B188</f>
        <v>ホーム Disk 容量 (TiB)</v>
      </c>
      <c r="B36" s="156"/>
      <c r="C36" s="156"/>
      <c r="D36" s="184" t="e">
        <f>INDEX(banana!$E188:$P188,'C'!$G$24)</f>
        <v>#N/A</v>
      </c>
      <c r="E36" s="167"/>
      <c r="F36" s="168"/>
      <c r="G36" s="171"/>
      <c r="H36" s="332"/>
      <c r="I36" s="333"/>
    </row>
    <row r="37" spans="1:9" ht="12.65" customHeight="1" x14ac:dyDescent="0.55000000000000004">
      <c r="A37" s="178" t="str">
        <f>banana!A188&amp;" "&amp;banana!B189</f>
        <v>ホーム Disk ファイル数 (百万)</v>
      </c>
      <c r="B37" s="156"/>
      <c r="C37" s="157"/>
      <c r="D37" s="184" t="e">
        <f>INDEX(banana!$E189:$P189,'C'!$G$24)</f>
        <v>#N/A</v>
      </c>
      <c r="E37" s="168"/>
      <c r="F37" s="168"/>
      <c r="G37" s="171"/>
      <c r="H37" s="332"/>
      <c r="I37" s="333"/>
    </row>
    <row r="38" spans="1:9" ht="12.65" customHeight="1" x14ac:dyDescent="0.55000000000000004">
      <c r="A38" s="178" t="str">
        <f>banana!A174</f>
        <v>アーカイブ Disk 追加 (1 TiB 単位)</v>
      </c>
      <c r="B38" s="156"/>
      <c r="C38" s="159"/>
      <c r="D38" s="184" t="e">
        <f>INDEX(banana!$E190:$P190,'C'!$G$24)</f>
        <v>#N/A</v>
      </c>
      <c r="E38" s="168"/>
      <c r="F38" s="168"/>
      <c r="G38" s="171"/>
      <c r="H38" s="332"/>
      <c r="I38" s="333"/>
    </row>
    <row r="39" spans="1:9" ht="12.65" customHeight="1" x14ac:dyDescent="0.55000000000000004">
      <c r="A39" s="178" t="str">
        <f>banana!A191</f>
        <v>データ転送量</v>
      </c>
      <c r="B39" s="156"/>
      <c r="C39" s="161"/>
      <c r="D39" s="179" t="e">
        <f>INDEX(banana!$E191:$P191,'C'!$G$24)</f>
        <v>#N/A</v>
      </c>
      <c r="E39" s="168" t="e">
        <f>IF(banana!$N$68,banana!$N$166,"")</f>
        <v>#N/A</v>
      </c>
      <c r="F39" s="168"/>
      <c r="G39" s="171" t="str">
        <f t="shared" ref="G39:G41" si="2">IF(ISNUMBER(E39),1,"")</f>
        <v/>
      </c>
      <c r="H39" s="332" t="str">
        <f t="shared" ref="H39:H41" si="3">IF(ISNUMBER(E39),E39*G39,"")</f>
        <v/>
      </c>
      <c r="I39" s="333"/>
    </row>
    <row r="40" spans="1:9" ht="12.65" customHeight="1" x14ac:dyDescent="0.55000000000000004">
      <c r="A40" s="178"/>
      <c r="B40" s="156"/>
      <c r="C40" s="159"/>
      <c r="D40" s="160"/>
      <c r="E40" s="168" t="e">
        <f>IF(banana!$N$68,banana!$N$177,"")</f>
        <v>#N/A</v>
      </c>
      <c r="F40" s="168"/>
      <c r="G40" s="171" t="str">
        <f t="shared" si="2"/>
        <v/>
      </c>
      <c r="H40" s="332" t="str">
        <f t="shared" si="3"/>
        <v/>
      </c>
      <c r="I40" s="333"/>
    </row>
    <row r="41" spans="1:9" ht="12.65" customHeight="1" x14ac:dyDescent="0.55000000000000004">
      <c r="A41" s="162"/>
      <c r="B41" s="163"/>
      <c r="C41" s="164"/>
      <c r="D41" s="165"/>
      <c r="E41" s="169" t="e">
        <f>IF(banana!$P$68,banana!$P$177,"")</f>
        <v>#N/A</v>
      </c>
      <c r="F41" s="169"/>
      <c r="G41" s="172" t="str">
        <f t="shared" si="2"/>
        <v/>
      </c>
      <c r="H41" s="334" t="str">
        <f t="shared" si="3"/>
        <v/>
      </c>
      <c r="I41" s="335"/>
    </row>
    <row r="42" spans="1:9" x14ac:dyDescent="0.55000000000000004">
      <c r="A42" s="149"/>
      <c r="B42" s="150"/>
      <c r="C42" s="150"/>
      <c r="D42" s="150"/>
      <c r="E42" s="150"/>
      <c r="F42" s="150"/>
      <c r="G42" s="151" t="s">
        <v>158</v>
      </c>
      <c r="H42" s="336" t="e">
        <f>SUM(H16:I41)</f>
        <v>#N/A</v>
      </c>
      <c r="I42" s="337"/>
    </row>
    <row r="43" spans="1:9" ht="5.15" customHeight="1" x14ac:dyDescent="0.55000000000000004">
      <c r="C43" s="4"/>
      <c r="D43" s="4"/>
      <c r="E43" s="4"/>
    </row>
    <row r="44" spans="1:9" ht="40.5" customHeight="1" x14ac:dyDescent="0.55000000000000004">
      <c r="A44" s="152" t="s">
        <v>150</v>
      </c>
      <c r="B44" s="352">
        <f>IF('C'!D20&lt;&gt;"",'C'!D20,'C'!F20)</f>
        <v>0</v>
      </c>
      <c r="C44" s="353"/>
      <c r="D44" s="353"/>
      <c r="E44" s="353"/>
      <c r="F44" s="353"/>
      <c r="G44" s="353"/>
      <c r="H44" s="353"/>
      <c r="I44" s="354"/>
    </row>
    <row r="45" spans="1:9" ht="5.15" customHeight="1" x14ac:dyDescent="0.55000000000000004">
      <c r="C45" s="4"/>
      <c r="D45" s="4"/>
      <c r="E45" s="4"/>
    </row>
    <row r="46" spans="1:9" x14ac:dyDescent="0.55000000000000004">
      <c r="A46" s="350" t="s">
        <v>159</v>
      </c>
      <c r="B46" s="351"/>
      <c r="C46" s="351"/>
      <c r="D46" s="351"/>
      <c r="E46" s="351"/>
      <c r="F46" s="351"/>
      <c r="G46" s="351"/>
      <c r="H46" s="351"/>
      <c r="I46" s="351"/>
    </row>
    <row r="47" spans="1:9" x14ac:dyDescent="0.55000000000000004">
      <c r="A47" s="330" t="s">
        <v>160</v>
      </c>
      <c r="B47" s="331"/>
      <c r="C47" s="331"/>
      <c r="D47" s="331"/>
      <c r="E47" s="331"/>
      <c r="F47" s="331"/>
      <c r="G47" s="331"/>
      <c r="H47" s="331"/>
      <c r="I47" s="331"/>
    </row>
  </sheetData>
  <mergeCells count="51">
    <mergeCell ref="A13:C13"/>
    <mergeCell ref="D13:F13"/>
    <mergeCell ref="G13:I13"/>
    <mergeCell ref="G1:I2"/>
    <mergeCell ref="H4:I4"/>
    <mergeCell ref="B5:G6"/>
    <mergeCell ref="B7:G8"/>
    <mergeCell ref="B9:G10"/>
    <mergeCell ref="H24:I24"/>
    <mergeCell ref="A15:D15"/>
    <mergeCell ref="H15:I15"/>
    <mergeCell ref="B17:D17"/>
    <mergeCell ref="H17:I17"/>
    <mergeCell ref="B18:D18"/>
    <mergeCell ref="H18:I18"/>
    <mergeCell ref="H19:I19"/>
    <mergeCell ref="H20:I20"/>
    <mergeCell ref="H21:I21"/>
    <mergeCell ref="H22:I22"/>
    <mergeCell ref="H23:I23"/>
    <mergeCell ref="B44:I44"/>
    <mergeCell ref="A46:I46"/>
    <mergeCell ref="A47:I47"/>
    <mergeCell ref="A16:B16"/>
    <mergeCell ref="H16:I16"/>
    <mergeCell ref="B21:D21"/>
    <mergeCell ref="B22:D22"/>
    <mergeCell ref="B23:D23"/>
    <mergeCell ref="B24:D24"/>
    <mergeCell ref="H39:I39"/>
    <mergeCell ref="H40:I40"/>
    <mergeCell ref="H32:I32"/>
    <mergeCell ref="H33:I33"/>
    <mergeCell ref="H34:I34"/>
    <mergeCell ref="H36:I36"/>
    <mergeCell ref="H37:I37"/>
    <mergeCell ref="H41:I41"/>
    <mergeCell ref="H42:I42"/>
    <mergeCell ref="H38:I38"/>
    <mergeCell ref="H26:I26"/>
    <mergeCell ref="H27:I27"/>
    <mergeCell ref="H28:I28"/>
    <mergeCell ref="H29:I29"/>
    <mergeCell ref="H30:I30"/>
    <mergeCell ref="H31:I31"/>
    <mergeCell ref="B25:D25"/>
    <mergeCell ref="H25:I25"/>
    <mergeCell ref="H35:I35"/>
    <mergeCell ref="B26:D26"/>
    <mergeCell ref="B27:D27"/>
    <mergeCell ref="B28:D28"/>
  </mergeCells>
  <phoneticPr fontId="2"/>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zoomScaleNormal="100" workbookViewId="0">
      <selection activeCell="D4" sqref="D4:G5"/>
    </sheetView>
  </sheetViews>
  <sheetFormatPr defaultRowHeight="18" x14ac:dyDescent="0.55000000000000004"/>
  <cols>
    <col min="4" max="4" width="7.5" customWidth="1"/>
    <col min="5" max="5" width="11.08203125" customWidth="1"/>
    <col min="6" max="7" width="7.33203125" customWidth="1"/>
    <col min="8" max="8" width="9" customWidth="1"/>
  </cols>
  <sheetData>
    <row r="1" spans="1:9" ht="18" customHeight="1" x14ac:dyDescent="0.55000000000000004">
      <c r="D1" s="136"/>
      <c r="E1" s="146"/>
      <c r="F1" s="142"/>
      <c r="G1" s="144" t="s">
        <v>165</v>
      </c>
      <c r="H1" s="374">
        <f>IF('C'!D21&lt;&gt;"",'C'!D21,'C'!F21)</f>
        <v>0</v>
      </c>
      <c r="I1" s="374"/>
    </row>
    <row r="2" spans="1:9" ht="24" customHeight="1" x14ac:dyDescent="0.55000000000000004">
      <c r="D2" s="137"/>
      <c r="E2" s="146"/>
      <c r="F2" s="142"/>
      <c r="G2" s="144" t="str">
        <f>'C'!B16</f>
        <v>取引先 ID</v>
      </c>
      <c r="H2" s="373" t="str">
        <f>IF('C'!D16&lt;&gt;"",'C'!D16,'C'!F16)</f>
        <v xml:space="preserve"> </v>
      </c>
      <c r="I2" s="373"/>
    </row>
    <row r="3" spans="1:9" ht="18" customHeight="1" x14ac:dyDescent="0.55000000000000004">
      <c r="D3" s="137"/>
      <c r="E3" s="140"/>
      <c r="F3" s="141"/>
      <c r="G3" s="141"/>
      <c r="H3" s="141"/>
      <c r="I3" s="142"/>
    </row>
    <row r="4" spans="1:9" ht="18" customHeight="1" x14ac:dyDescent="0.55000000000000004">
      <c r="D4" s="369" t="str">
        <f>IF('C'!D10&lt;&gt;"",'C'!D10,'C'!F10)</f>
        <v>利用明細書</v>
      </c>
      <c r="E4" s="369"/>
      <c r="F4" s="369"/>
      <c r="G4" s="369"/>
      <c r="H4" s="180"/>
      <c r="I4" s="180"/>
    </row>
    <row r="5" spans="1:9" ht="18" customHeight="1" x14ac:dyDescent="0.55000000000000004">
      <c r="D5" s="369"/>
      <c r="E5" s="369"/>
      <c r="F5" s="369"/>
      <c r="G5" s="369"/>
      <c r="H5" s="180"/>
      <c r="I5" s="180"/>
    </row>
    <row r="6" spans="1:9" ht="18" customHeight="1" x14ac:dyDescent="0.55000000000000004">
      <c r="D6" s="137"/>
      <c r="E6" s="140"/>
      <c r="F6" s="141"/>
      <c r="G6" s="144"/>
      <c r="H6" s="180"/>
      <c r="I6" s="180"/>
    </row>
    <row r="7" spans="1:9" ht="24" customHeight="1" x14ac:dyDescent="0.55000000000000004">
      <c r="A7" s="144" t="str">
        <f>'C'!B11</f>
        <v>請求先</v>
      </c>
      <c r="B7" s="370" t="str">
        <f>IF('C'!D11&lt;&gt;"",'C'!D11,'C'!F11)&amp;" "&amp;IF('C'!D12&lt;&gt;"",'C'!D12,'C'!F12)</f>
        <v>0 御中</v>
      </c>
      <c r="C7" s="370"/>
      <c r="D7" s="370"/>
      <c r="E7" s="370"/>
      <c r="F7" s="370"/>
      <c r="G7" s="372" t="s">
        <v>188</v>
      </c>
      <c r="H7" s="372"/>
      <c r="I7" s="372"/>
    </row>
    <row r="8" spans="1:9" ht="31" customHeight="1" x14ac:dyDescent="0.55000000000000004">
      <c r="B8" s="370"/>
      <c r="C8" s="370"/>
      <c r="D8" s="370"/>
      <c r="E8" s="370"/>
      <c r="F8" s="370"/>
      <c r="G8" s="372"/>
      <c r="H8" s="372"/>
      <c r="I8" s="372"/>
    </row>
    <row r="9" spans="1:9" ht="18" customHeight="1" x14ac:dyDescent="0.55000000000000004">
      <c r="A9" s="144" t="str">
        <f>'C'!B13</f>
        <v>請求先住所</v>
      </c>
      <c r="B9" s="371" t="str">
        <f>"〒"&amp;IF('C'!D13&lt;&gt;"",'C'!D13,'C'!F13)&amp;" "&amp;IF('C'!D14&lt;&gt;"",'C'!D14,'C'!F14)</f>
        <v>〒FALSE 様</v>
      </c>
      <c r="C9" s="371"/>
      <c r="D9" s="371"/>
      <c r="E9" s="371"/>
      <c r="F9" s="371"/>
      <c r="G9" s="372"/>
      <c r="H9" s="372"/>
      <c r="I9" s="372"/>
    </row>
    <row r="10" spans="1:9" ht="29.15" customHeight="1" x14ac:dyDescent="0.55000000000000004">
      <c r="B10" s="371"/>
      <c r="C10" s="371"/>
      <c r="D10" s="371"/>
      <c r="E10" s="371"/>
      <c r="F10" s="371"/>
      <c r="G10" s="372"/>
      <c r="H10" s="372"/>
      <c r="I10" s="372"/>
    </row>
    <row r="11" spans="1:9" ht="18" customHeight="1" x14ac:dyDescent="0.55000000000000004">
      <c r="A11" s="144" t="str">
        <f>'C'!B15</f>
        <v>電話</v>
      </c>
      <c r="B11" s="345" t="b">
        <f>IF('C'!D15&lt;&gt;"",'C'!D15,'C'!F15)</f>
        <v>0</v>
      </c>
      <c r="C11" s="345"/>
      <c r="D11" s="345"/>
      <c r="E11" s="345"/>
      <c r="F11" s="345"/>
      <c r="G11" s="372"/>
      <c r="H11" s="372"/>
      <c r="I11" s="372"/>
    </row>
    <row r="12" spans="1:9" ht="18" customHeight="1" x14ac:dyDescent="0.55000000000000004">
      <c r="B12" s="181"/>
      <c r="C12" s="181"/>
      <c r="D12" s="181"/>
      <c r="E12" s="181"/>
      <c r="F12" s="181"/>
      <c r="G12" s="181"/>
      <c r="H12" s="141"/>
      <c r="I12" s="142"/>
    </row>
    <row r="13" spans="1:9" x14ac:dyDescent="0.55000000000000004">
      <c r="B13" s="147" t="str">
        <f>'C'!B17</f>
        <v>品名</v>
      </c>
      <c r="E13" s="147" t="str">
        <f>'C'!B18</f>
        <v>支払形式</v>
      </c>
      <c r="F13" s="143"/>
      <c r="G13" s="143"/>
      <c r="H13" s="147" t="str">
        <f>'C'!B19</f>
        <v>支払期日</v>
      </c>
      <c r="I13" s="143"/>
    </row>
    <row r="14" spans="1:9" ht="27.65" customHeight="1" x14ac:dyDescent="0.55000000000000004">
      <c r="A14" s="356" t="str">
        <f>IF('C'!D17&lt;&gt;"",'C'!D17,'C'!F17)</f>
        <v>電子計算機利用費</v>
      </c>
      <c r="B14" s="357"/>
      <c r="C14" s="358"/>
      <c r="D14" s="356" t="b">
        <f>IF('C'!D18&lt;&gt;"",'C'!D18,'C'!F18)</f>
        <v>0</v>
      </c>
      <c r="E14" s="357"/>
      <c r="F14" s="358"/>
      <c r="G14" s="359" t="str">
        <f>IF('C'!D19&lt;&gt;"",'C'!D19,'C'!F19)</f>
        <v>請求日から 30 日以内</v>
      </c>
      <c r="H14" s="360"/>
      <c r="I14" s="361"/>
    </row>
    <row r="15" spans="1:9" ht="5.15" customHeight="1" x14ac:dyDescent="0.55000000000000004">
      <c r="F15" s="143"/>
      <c r="G15" s="143"/>
      <c r="H15" s="143"/>
      <c r="I15" s="143"/>
    </row>
    <row r="16" spans="1:9" x14ac:dyDescent="0.55000000000000004">
      <c r="A16" s="346" t="s">
        <v>151</v>
      </c>
      <c r="B16" s="347"/>
      <c r="C16" s="347"/>
      <c r="D16" s="348"/>
      <c r="E16" s="148" t="s">
        <v>152</v>
      </c>
      <c r="F16" s="148" t="s">
        <v>153</v>
      </c>
      <c r="G16" s="148" t="s">
        <v>154</v>
      </c>
      <c r="H16" s="349" t="s">
        <v>155</v>
      </c>
      <c r="I16" s="348"/>
    </row>
    <row r="17" spans="1:9" x14ac:dyDescent="0.55000000000000004">
      <c r="A17" s="153" t="str">
        <f>banana!A25</f>
        <v>利用者</v>
      </c>
      <c r="B17" s="340" t="str">
        <f>REPUNAME&amp;" 様"</f>
        <v xml:space="preserve"> 様</v>
      </c>
      <c r="C17" s="340"/>
      <c r="D17" s="341"/>
      <c r="E17" s="166"/>
      <c r="F17" s="170"/>
      <c r="G17" s="170"/>
      <c r="H17" s="343"/>
      <c r="I17" s="344"/>
    </row>
    <row r="18" spans="1:9" ht="16" customHeight="1" x14ac:dyDescent="0.55000000000000004">
      <c r="A18" s="154" t="str">
        <f>IF('C'!D22="",'C'!B22,"")</f>
        <v>利用期間</v>
      </c>
      <c r="B18" s="342" t="e">
        <f>IF('C'!D22="",banana!A62&amp;" 年 "&amp;banana!C62&amp;" 月 ～ "&amp;IF(banana!A62&lt;&gt;banana!A63,banana!A63&amp;" 年 ","")&amp;banana!C63&amp;" 月","")</f>
        <v>#N/A</v>
      </c>
      <c r="C18" s="342"/>
      <c r="D18" s="339"/>
      <c r="E18" s="167"/>
      <c r="F18" s="168">
        <f>IF('C'!D22="",1,"")</f>
        <v>1</v>
      </c>
      <c r="G18" s="168"/>
      <c r="H18" s="338"/>
      <c r="I18" s="339"/>
    </row>
    <row r="19" spans="1:9" ht="12.65" customHeight="1" x14ac:dyDescent="0.55000000000000004">
      <c r="A19" s="155"/>
      <c r="B19" s="156" t="e">
        <f>IF('C'!D22="",IF(banana!$E$68,banana!$E$116,"-"),"")</f>
        <v>#N/A</v>
      </c>
      <c r="C19" s="157" t="e">
        <f>banana!$E$155</f>
        <v>#N/A</v>
      </c>
      <c r="D19" s="158" t="e">
        <f>IF(banana!$E$68,banana!A155,"")</f>
        <v>#N/A</v>
      </c>
      <c r="E19" s="167" t="e">
        <f>IF(banana!$E$68,banana!$E$166,"")</f>
        <v>#N/A</v>
      </c>
      <c r="F19" s="168"/>
      <c r="G19" s="171" t="str">
        <f>IF(ISNUMBER(E19),1,"")</f>
        <v/>
      </c>
      <c r="H19" s="332" t="str">
        <f>IF(ISNUMBER(E19),E19*G19,"")</f>
        <v/>
      </c>
      <c r="I19" s="333"/>
    </row>
    <row r="20" spans="1:9" ht="12.65" customHeight="1" x14ac:dyDescent="0.55000000000000004">
      <c r="A20" s="155"/>
      <c r="B20" s="156"/>
      <c r="C20" s="156" t="e">
        <f>IF(banana!$E$68,"オプション","")</f>
        <v>#N/A</v>
      </c>
      <c r="D20" s="158"/>
      <c r="E20" s="167" t="e">
        <f>IF(banana!$E$68,banana!$E$177,"")</f>
        <v>#N/A</v>
      </c>
      <c r="F20" s="168"/>
      <c r="G20" s="171" t="str">
        <f t="shared" ref="G20:G42" si="0">IF(ISNUMBER(E20),1,"")</f>
        <v/>
      </c>
      <c r="H20" s="332" t="str">
        <f t="shared" ref="H20:H42" si="1">IF(ISNUMBER(E20),E20*G20,"")</f>
        <v/>
      </c>
      <c r="I20" s="333"/>
    </row>
    <row r="21" spans="1:9" ht="12.65" customHeight="1" x14ac:dyDescent="0.55000000000000004">
      <c r="A21" s="155"/>
      <c r="B21" s="156" t="e">
        <f>IF('C'!D22="",IF(banana!$F$68,banana!$F$116,"-"),"")</f>
        <v>#N/A</v>
      </c>
      <c r="C21" s="157" t="e">
        <f>banana!$F$155</f>
        <v>#N/A</v>
      </c>
      <c r="D21" s="158" t="e">
        <f>IF(banana!$F$68,banana!A155,"")</f>
        <v>#N/A</v>
      </c>
      <c r="E21" s="167" t="e">
        <f>IF(banana!$F$68,banana!$F$166,"")</f>
        <v>#N/A</v>
      </c>
      <c r="F21" s="168"/>
      <c r="G21" s="171" t="str">
        <f t="shared" si="0"/>
        <v/>
      </c>
      <c r="H21" s="332" t="str">
        <f t="shared" si="1"/>
        <v/>
      </c>
      <c r="I21" s="333"/>
    </row>
    <row r="22" spans="1:9" ht="12.65" customHeight="1" x14ac:dyDescent="0.55000000000000004">
      <c r="A22" s="155"/>
      <c r="B22" s="156"/>
      <c r="C22" s="156" t="e">
        <f>IF(banana!$F$68,"オプション","")</f>
        <v>#N/A</v>
      </c>
      <c r="D22" s="158"/>
      <c r="E22" s="167" t="e">
        <f>IF(banana!$F$68,banana!$F$177,"")</f>
        <v>#N/A</v>
      </c>
      <c r="F22" s="168"/>
      <c r="G22" s="171" t="str">
        <f t="shared" si="0"/>
        <v/>
      </c>
      <c r="H22" s="332" t="str">
        <f t="shared" si="1"/>
        <v/>
      </c>
      <c r="I22" s="333"/>
    </row>
    <row r="23" spans="1:9" ht="12.65" customHeight="1" x14ac:dyDescent="0.55000000000000004">
      <c r="A23" s="155"/>
      <c r="B23" s="156" t="e">
        <f>IF('C'!D22="",IF(banana!$G$68,banana!$G$116,"-"),"")</f>
        <v>#N/A</v>
      </c>
      <c r="C23" s="157" t="e">
        <f>banana!$G$155</f>
        <v>#N/A</v>
      </c>
      <c r="D23" s="158" t="e">
        <f>IF(banana!$G$68,banana!A155,"")</f>
        <v>#N/A</v>
      </c>
      <c r="E23" s="167" t="e">
        <f>IF(banana!$G$68,banana!$G$166,"")</f>
        <v>#N/A</v>
      </c>
      <c r="F23" s="168"/>
      <c r="G23" s="171" t="str">
        <f t="shared" si="0"/>
        <v/>
      </c>
      <c r="H23" s="332" t="str">
        <f t="shared" si="1"/>
        <v/>
      </c>
      <c r="I23" s="333"/>
    </row>
    <row r="24" spans="1:9" ht="12.65" customHeight="1" x14ac:dyDescent="0.55000000000000004">
      <c r="A24" s="155"/>
      <c r="B24" s="156"/>
      <c r="C24" s="156" t="e">
        <f>IF(banana!$G$68,"オプション","")</f>
        <v>#N/A</v>
      </c>
      <c r="D24" s="158"/>
      <c r="E24" s="167" t="e">
        <f>IF(banana!$G$68,banana!$G$177,"")</f>
        <v>#N/A</v>
      </c>
      <c r="F24" s="168"/>
      <c r="G24" s="171" t="str">
        <f t="shared" si="0"/>
        <v/>
      </c>
      <c r="H24" s="332" t="str">
        <f t="shared" si="1"/>
        <v/>
      </c>
      <c r="I24" s="333"/>
    </row>
    <row r="25" spans="1:9" ht="12.65" customHeight="1" x14ac:dyDescent="0.55000000000000004">
      <c r="A25" s="155"/>
      <c r="B25" s="156" t="e">
        <f>IF('C'!D22="",IF(banana!$H$68,banana!$H$116,"-"),"")</f>
        <v>#N/A</v>
      </c>
      <c r="C25" s="157" t="e">
        <f>banana!$H$155</f>
        <v>#N/A</v>
      </c>
      <c r="D25" s="158" t="e">
        <f>IF(banana!$H$68,banana!A155,"")</f>
        <v>#N/A</v>
      </c>
      <c r="E25" s="167" t="e">
        <f>IF(banana!$H$68,banana!$H$166,"")</f>
        <v>#N/A</v>
      </c>
      <c r="F25" s="168"/>
      <c r="G25" s="171" t="str">
        <f t="shared" si="0"/>
        <v/>
      </c>
      <c r="H25" s="332" t="str">
        <f t="shared" si="1"/>
        <v/>
      </c>
      <c r="I25" s="333"/>
    </row>
    <row r="26" spans="1:9" ht="12.65" customHeight="1" x14ac:dyDescent="0.55000000000000004">
      <c r="A26" s="155"/>
      <c r="B26" s="156"/>
      <c r="C26" s="156" t="e">
        <f>IF(banana!$H$68,"オプション","")</f>
        <v>#N/A</v>
      </c>
      <c r="D26" s="158"/>
      <c r="E26" s="167" t="e">
        <f>IF(banana!$H$68,banana!$H$177,"")</f>
        <v>#N/A</v>
      </c>
      <c r="F26" s="168"/>
      <c r="G26" s="171" t="str">
        <f t="shared" si="0"/>
        <v/>
      </c>
      <c r="H26" s="332" t="str">
        <f t="shared" si="1"/>
        <v/>
      </c>
      <c r="I26" s="333"/>
    </row>
    <row r="27" spans="1:9" ht="12.65" customHeight="1" x14ac:dyDescent="0.55000000000000004">
      <c r="A27" s="155"/>
      <c r="B27" s="156" t="e">
        <f>IF('C'!D22="",IF(banana!$I$68,banana!$I$116,"-"),"")</f>
        <v>#N/A</v>
      </c>
      <c r="C27" s="157" t="e">
        <f>banana!$I$155</f>
        <v>#N/A</v>
      </c>
      <c r="D27" s="158" t="e">
        <f>IF(banana!$I$68,banana!A155,"")</f>
        <v>#N/A</v>
      </c>
      <c r="E27" s="167" t="e">
        <f>IF(banana!$I$68,banana!$I$166,"")</f>
        <v>#N/A</v>
      </c>
      <c r="F27" s="168"/>
      <c r="G27" s="171" t="str">
        <f t="shared" si="0"/>
        <v/>
      </c>
      <c r="H27" s="332" t="str">
        <f t="shared" si="1"/>
        <v/>
      </c>
      <c r="I27" s="333"/>
    </row>
    <row r="28" spans="1:9" ht="12.65" customHeight="1" x14ac:dyDescent="0.55000000000000004">
      <c r="A28" s="155"/>
      <c r="B28" s="156"/>
      <c r="C28" s="156" t="e">
        <f>IF(banana!$I$68,"オプション","")</f>
        <v>#N/A</v>
      </c>
      <c r="D28" s="158"/>
      <c r="E28" s="167" t="e">
        <f>IF(banana!$I$68,banana!$I$177,"")</f>
        <v>#N/A</v>
      </c>
      <c r="F28" s="168"/>
      <c r="G28" s="171" t="str">
        <f t="shared" si="0"/>
        <v/>
      </c>
      <c r="H28" s="332" t="str">
        <f t="shared" si="1"/>
        <v/>
      </c>
      <c r="I28" s="333"/>
    </row>
    <row r="29" spans="1:9" ht="12.65" customHeight="1" x14ac:dyDescent="0.55000000000000004">
      <c r="A29" s="155"/>
      <c r="B29" s="156" t="e">
        <f>IF('C'!D22="",IF(banana!$J$68,banana!$J$116,"-"),"")</f>
        <v>#N/A</v>
      </c>
      <c r="C29" s="157" t="e">
        <f>banana!$J$155</f>
        <v>#N/A</v>
      </c>
      <c r="D29" s="158" t="e">
        <f>IF(banana!$J$68,banana!A155,"")</f>
        <v>#N/A</v>
      </c>
      <c r="E29" s="167" t="e">
        <f>IF(banana!$J$68,banana!$J$166,"")</f>
        <v>#N/A</v>
      </c>
      <c r="F29" s="168"/>
      <c r="G29" s="171" t="str">
        <f t="shared" si="0"/>
        <v/>
      </c>
      <c r="H29" s="332" t="str">
        <f t="shared" si="1"/>
        <v/>
      </c>
      <c r="I29" s="333"/>
    </row>
    <row r="30" spans="1:9" ht="12.65" customHeight="1" x14ac:dyDescent="0.55000000000000004">
      <c r="A30" s="155"/>
      <c r="B30" s="156"/>
      <c r="C30" s="156" t="e">
        <f>IF(banana!$J$68,"オプション","")</f>
        <v>#N/A</v>
      </c>
      <c r="D30" s="158"/>
      <c r="E30" s="167" t="e">
        <f>IF(banana!$J$68,banana!$J$177,"")</f>
        <v>#N/A</v>
      </c>
      <c r="F30" s="168"/>
      <c r="G30" s="171" t="str">
        <f t="shared" si="0"/>
        <v/>
      </c>
      <c r="H30" s="332" t="str">
        <f t="shared" si="1"/>
        <v/>
      </c>
      <c r="I30" s="333"/>
    </row>
    <row r="31" spans="1:9" ht="12.65" customHeight="1" x14ac:dyDescent="0.55000000000000004">
      <c r="A31" s="155"/>
      <c r="B31" s="156" t="e">
        <f>IF('C'!D22="",IF(banana!$K$68,banana!$K$116,"-"),"")</f>
        <v>#N/A</v>
      </c>
      <c r="C31" s="157" t="e">
        <f>banana!$K$155</f>
        <v>#N/A</v>
      </c>
      <c r="D31" s="158" t="e">
        <f>IF(banana!$K$68,banana!A155,"")</f>
        <v>#N/A</v>
      </c>
      <c r="E31" s="167" t="e">
        <f>IF(banana!$K$68,banana!$K$166,"")</f>
        <v>#N/A</v>
      </c>
      <c r="F31" s="168"/>
      <c r="G31" s="171" t="str">
        <f t="shared" si="0"/>
        <v/>
      </c>
      <c r="H31" s="332" t="str">
        <f t="shared" si="1"/>
        <v/>
      </c>
      <c r="I31" s="333"/>
    </row>
    <row r="32" spans="1:9" ht="12.65" customHeight="1" x14ac:dyDescent="0.55000000000000004">
      <c r="A32" s="155"/>
      <c r="B32" s="156"/>
      <c r="C32" s="156" t="e">
        <f>IF(banana!$K$68,"オプション","")</f>
        <v>#N/A</v>
      </c>
      <c r="D32" s="158"/>
      <c r="E32" s="167" t="e">
        <f>IF(banana!$K$68,banana!$K$177,"")</f>
        <v>#N/A</v>
      </c>
      <c r="F32" s="168"/>
      <c r="G32" s="171" t="str">
        <f t="shared" si="0"/>
        <v/>
      </c>
      <c r="H32" s="332" t="str">
        <f t="shared" si="1"/>
        <v/>
      </c>
      <c r="I32" s="333"/>
    </row>
    <row r="33" spans="1:9" ht="12.65" customHeight="1" x14ac:dyDescent="0.55000000000000004">
      <c r="A33" s="155"/>
      <c r="B33" s="156" t="e">
        <f>IF('C'!D22="",IF(banana!$L$68,banana!$L$116,"-"),"")</f>
        <v>#N/A</v>
      </c>
      <c r="C33" s="157" t="e">
        <f>banana!$L$155</f>
        <v>#N/A</v>
      </c>
      <c r="D33" s="158" t="e">
        <f>IF(banana!$L$68,banana!A155,"")</f>
        <v>#N/A</v>
      </c>
      <c r="E33" s="167" t="e">
        <f>IF(banana!$L$68,banana!$L$166,"")</f>
        <v>#N/A</v>
      </c>
      <c r="F33" s="168"/>
      <c r="G33" s="171" t="str">
        <f t="shared" si="0"/>
        <v/>
      </c>
      <c r="H33" s="332" t="str">
        <f t="shared" si="1"/>
        <v/>
      </c>
      <c r="I33" s="333"/>
    </row>
    <row r="34" spans="1:9" ht="12.65" customHeight="1" x14ac:dyDescent="0.55000000000000004">
      <c r="A34" s="155"/>
      <c r="B34" s="156"/>
      <c r="C34" s="156" t="e">
        <f>IF(banana!$L$68,"オプション","")</f>
        <v>#N/A</v>
      </c>
      <c r="D34" s="158"/>
      <c r="E34" s="167" t="e">
        <f>IF(banana!$L$68,banana!$L$177,"")</f>
        <v>#N/A</v>
      </c>
      <c r="F34" s="168"/>
      <c r="G34" s="171" t="str">
        <f t="shared" si="0"/>
        <v/>
      </c>
      <c r="H34" s="332" t="str">
        <f t="shared" si="1"/>
        <v/>
      </c>
      <c r="I34" s="333"/>
    </row>
    <row r="35" spans="1:9" ht="12.65" customHeight="1" x14ac:dyDescent="0.55000000000000004">
      <c r="A35" s="155"/>
      <c r="B35" s="156" t="e">
        <f>IF('C'!D22="",IF(banana!$M$68,banana!$M$116,"-"),"")</f>
        <v>#N/A</v>
      </c>
      <c r="C35" s="157" t="e">
        <f>banana!$M$155</f>
        <v>#N/A</v>
      </c>
      <c r="D35" s="158" t="e">
        <f>IF(banana!$M$68,banana!A155,"")</f>
        <v>#N/A</v>
      </c>
      <c r="E35" s="168" t="e">
        <f>IF(banana!$M$68,banana!$M$166,"")</f>
        <v>#N/A</v>
      </c>
      <c r="F35" s="168"/>
      <c r="G35" s="171" t="str">
        <f t="shared" si="0"/>
        <v/>
      </c>
      <c r="H35" s="332" t="str">
        <f t="shared" si="1"/>
        <v/>
      </c>
      <c r="I35" s="333"/>
    </row>
    <row r="36" spans="1:9" ht="12.65" customHeight="1" x14ac:dyDescent="0.55000000000000004">
      <c r="A36" s="155"/>
      <c r="B36" s="156"/>
      <c r="C36" s="159" t="e">
        <f>IF(banana!$M$68,"オプション","")</f>
        <v>#N/A</v>
      </c>
      <c r="D36" s="160"/>
      <c r="E36" s="168" t="e">
        <f>IF(banana!$M$68,banana!$M$177,"")</f>
        <v>#N/A</v>
      </c>
      <c r="F36" s="168"/>
      <c r="G36" s="171" t="str">
        <f t="shared" si="0"/>
        <v/>
      </c>
      <c r="H36" s="332" t="str">
        <f t="shared" si="1"/>
        <v/>
      </c>
      <c r="I36" s="333"/>
    </row>
    <row r="37" spans="1:9" ht="12.65" customHeight="1" x14ac:dyDescent="0.55000000000000004">
      <c r="A37" s="155"/>
      <c r="B37" s="156" t="e">
        <f>IF('C'!D22="",IF(banana!$N$68,banana!$N$116,"-"),"")</f>
        <v>#N/A</v>
      </c>
      <c r="C37" s="161" t="e">
        <f>banana!$N$155</f>
        <v>#N/A</v>
      </c>
      <c r="D37" s="160" t="e">
        <f>IF(banana!$N$68,banana!A155,"")</f>
        <v>#N/A</v>
      </c>
      <c r="E37" s="168" t="e">
        <f>IF(banana!$N$68,banana!$N$166,"")</f>
        <v>#N/A</v>
      </c>
      <c r="F37" s="168"/>
      <c r="G37" s="171" t="str">
        <f t="shared" si="0"/>
        <v/>
      </c>
      <c r="H37" s="332" t="str">
        <f t="shared" si="1"/>
        <v/>
      </c>
      <c r="I37" s="333"/>
    </row>
    <row r="38" spans="1:9" ht="12.65" customHeight="1" x14ac:dyDescent="0.55000000000000004">
      <c r="A38" s="155"/>
      <c r="B38" s="156"/>
      <c r="C38" s="159" t="e">
        <f>IF(banana!$N$68,"オプション","")</f>
        <v>#N/A</v>
      </c>
      <c r="D38" s="160"/>
      <c r="E38" s="168" t="e">
        <f>IF(banana!$N$68,banana!$N$177,"")</f>
        <v>#N/A</v>
      </c>
      <c r="F38" s="168"/>
      <c r="G38" s="171" t="str">
        <f t="shared" si="0"/>
        <v/>
      </c>
      <c r="H38" s="332" t="str">
        <f t="shared" si="1"/>
        <v/>
      </c>
      <c r="I38" s="333"/>
    </row>
    <row r="39" spans="1:9" ht="12.65" customHeight="1" x14ac:dyDescent="0.55000000000000004">
      <c r="A39" s="155"/>
      <c r="B39" s="156" t="e">
        <f>IF('C'!D22="",IF(banana!$O$68,banana!$O$116,"-"),"")</f>
        <v>#N/A</v>
      </c>
      <c r="C39" s="161" t="e">
        <f>banana!$O$155</f>
        <v>#N/A</v>
      </c>
      <c r="D39" s="160" t="e">
        <f>IF(banana!$O$68,banana!A155,"")</f>
        <v>#N/A</v>
      </c>
      <c r="E39" s="168" t="e">
        <f>IF(banana!$O$68,banana!$O$166,"")</f>
        <v>#N/A</v>
      </c>
      <c r="F39" s="168"/>
      <c r="G39" s="171" t="str">
        <f t="shared" si="0"/>
        <v/>
      </c>
      <c r="H39" s="332" t="str">
        <f t="shared" si="1"/>
        <v/>
      </c>
      <c r="I39" s="333"/>
    </row>
    <row r="40" spans="1:9" ht="12.65" customHeight="1" x14ac:dyDescent="0.55000000000000004">
      <c r="A40" s="155"/>
      <c r="B40" s="156"/>
      <c r="C40" s="159" t="e">
        <f>IF(banana!$O$68,"オプション","")</f>
        <v>#N/A</v>
      </c>
      <c r="D40" s="160"/>
      <c r="E40" s="168" t="e">
        <f>IF(banana!$O$68,banana!$O$177,"")</f>
        <v>#N/A</v>
      </c>
      <c r="F40" s="168"/>
      <c r="G40" s="171" t="str">
        <f t="shared" si="0"/>
        <v/>
      </c>
      <c r="H40" s="332" t="str">
        <f t="shared" si="1"/>
        <v/>
      </c>
      <c r="I40" s="333"/>
    </row>
    <row r="41" spans="1:9" ht="12.65" customHeight="1" x14ac:dyDescent="0.55000000000000004">
      <c r="A41" s="155"/>
      <c r="B41" s="156" t="e">
        <f>IF('C'!D22="",IF(banana!$P$68,banana!$P$116,"-"),"")</f>
        <v>#N/A</v>
      </c>
      <c r="C41" s="157" t="e">
        <f>banana!$P$155</f>
        <v>#N/A</v>
      </c>
      <c r="D41" s="158" t="e">
        <f>IF(banana!$P$68,banana!A155,"")</f>
        <v>#N/A</v>
      </c>
      <c r="E41" s="168" t="e">
        <f>IF(banana!$P$68,banana!$P$166,"")</f>
        <v>#N/A</v>
      </c>
      <c r="F41" s="168"/>
      <c r="G41" s="171" t="str">
        <f t="shared" si="0"/>
        <v/>
      </c>
      <c r="H41" s="332" t="str">
        <f t="shared" si="1"/>
        <v/>
      </c>
      <c r="I41" s="333"/>
    </row>
    <row r="42" spans="1:9" ht="12.65" customHeight="1" x14ac:dyDescent="0.55000000000000004">
      <c r="A42" s="162"/>
      <c r="B42" s="163"/>
      <c r="C42" s="164" t="e">
        <f>IF(banana!$P$68,"オプション","")</f>
        <v>#N/A</v>
      </c>
      <c r="D42" s="165"/>
      <c r="E42" s="169" t="e">
        <f>IF(banana!$P$68,banana!$P$177,"")</f>
        <v>#N/A</v>
      </c>
      <c r="F42" s="169"/>
      <c r="G42" s="172" t="str">
        <f t="shared" si="0"/>
        <v/>
      </c>
      <c r="H42" s="334" t="str">
        <f t="shared" si="1"/>
        <v/>
      </c>
      <c r="I42" s="335"/>
    </row>
    <row r="43" spans="1:9" x14ac:dyDescent="0.55000000000000004">
      <c r="A43" s="149"/>
      <c r="B43" s="150"/>
      <c r="C43" s="150"/>
      <c r="D43" s="150"/>
      <c r="E43" s="150"/>
      <c r="F43" s="150"/>
      <c r="G43" s="151" t="s">
        <v>158</v>
      </c>
      <c r="H43" s="336">
        <f>SUM(H19:I42)</f>
        <v>0</v>
      </c>
      <c r="I43" s="337"/>
    </row>
    <row r="44" spans="1:9" ht="5.15" customHeight="1" x14ac:dyDescent="0.55000000000000004">
      <c r="C44" s="4"/>
      <c r="D44" s="4"/>
      <c r="E44" s="4"/>
    </row>
    <row r="45" spans="1:9" x14ac:dyDescent="0.55000000000000004">
      <c r="A45" s="144" t="s">
        <v>150</v>
      </c>
      <c r="B45" s="352"/>
      <c r="C45" s="353"/>
      <c r="D45" s="353"/>
      <c r="E45" s="353"/>
      <c r="F45" s="353"/>
      <c r="G45" s="353"/>
      <c r="H45" s="353"/>
      <c r="I45" s="354"/>
    </row>
  </sheetData>
  <mergeCells count="42">
    <mergeCell ref="A14:C14"/>
    <mergeCell ref="D14:F14"/>
    <mergeCell ref="G14:I14"/>
    <mergeCell ref="H2:I2"/>
    <mergeCell ref="H1:I1"/>
    <mergeCell ref="H24:I24"/>
    <mergeCell ref="A16:D16"/>
    <mergeCell ref="H16:I16"/>
    <mergeCell ref="B17:D17"/>
    <mergeCell ref="H17:I17"/>
    <mergeCell ref="B18:D18"/>
    <mergeCell ref="H18:I18"/>
    <mergeCell ref="H19:I19"/>
    <mergeCell ref="H20:I20"/>
    <mergeCell ref="H21:I21"/>
    <mergeCell ref="H22:I22"/>
    <mergeCell ref="H23:I23"/>
    <mergeCell ref="H34:I34"/>
    <mergeCell ref="H35:I35"/>
    <mergeCell ref="H36:I36"/>
    <mergeCell ref="H25:I25"/>
    <mergeCell ref="H26:I26"/>
    <mergeCell ref="H27:I27"/>
    <mergeCell ref="H28:I28"/>
    <mergeCell ref="H29:I29"/>
    <mergeCell ref="H30:I30"/>
    <mergeCell ref="B45:I45"/>
    <mergeCell ref="H43:I43"/>
    <mergeCell ref="D4:G5"/>
    <mergeCell ref="B7:F8"/>
    <mergeCell ref="B9:F10"/>
    <mergeCell ref="B11:F11"/>
    <mergeCell ref="G7:I11"/>
    <mergeCell ref="H37:I37"/>
    <mergeCell ref="H38:I38"/>
    <mergeCell ref="H39:I39"/>
    <mergeCell ref="H40:I40"/>
    <mergeCell ref="H41:I41"/>
    <mergeCell ref="H42:I42"/>
    <mergeCell ref="H31:I31"/>
    <mergeCell ref="H32:I32"/>
    <mergeCell ref="H33:I33"/>
  </mergeCells>
  <phoneticPr fontId="2"/>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zoomScaleNormal="100" workbookViewId="0">
      <selection activeCell="D4" sqref="D4:G5"/>
    </sheetView>
  </sheetViews>
  <sheetFormatPr defaultRowHeight="18" x14ac:dyDescent="0.55000000000000004"/>
  <cols>
    <col min="4" max="4" width="7.5" customWidth="1"/>
    <col min="5" max="5" width="11.08203125" customWidth="1"/>
    <col min="6" max="7" width="7.33203125" customWidth="1"/>
    <col min="8" max="8" width="9" customWidth="1"/>
  </cols>
  <sheetData>
    <row r="1" spans="1:9" ht="18" customHeight="1" x14ac:dyDescent="0.55000000000000004">
      <c r="D1" s="136"/>
      <c r="E1" s="146"/>
      <c r="F1" s="146"/>
      <c r="G1" s="144" t="s">
        <v>165</v>
      </c>
      <c r="H1" s="374">
        <f>IF('C'!D21&lt;&gt;"",'C'!D21,'C'!F21)</f>
        <v>0</v>
      </c>
      <c r="I1" s="374"/>
    </row>
    <row r="2" spans="1:9" ht="24" customHeight="1" x14ac:dyDescent="0.55000000000000004">
      <c r="D2" s="137"/>
      <c r="E2" s="146"/>
      <c r="F2" s="146"/>
      <c r="G2" s="144" t="str">
        <f>'C'!B16</f>
        <v>取引先 ID</v>
      </c>
      <c r="H2" s="373" t="str">
        <f>IF('C'!D16&lt;&gt;"",'C'!D16,'C'!F16)</f>
        <v xml:space="preserve"> </v>
      </c>
      <c r="I2" s="373"/>
    </row>
    <row r="3" spans="1:9" ht="18" customHeight="1" x14ac:dyDescent="0.55000000000000004">
      <c r="D3" s="137"/>
      <c r="E3" s="140"/>
      <c r="F3" s="141"/>
      <c r="G3" s="182"/>
      <c r="H3" s="141"/>
      <c r="I3" s="142"/>
    </row>
    <row r="4" spans="1:9" ht="18" customHeight="1" x14ac:dyDescent="0.55000000000000004">
      <c r="D4" s="369" t="str">
        <f>IF('C'!D10&lt;&gt;"",'C'!D10,'C'!F10)</f>
        <v>利用明細書</v>
      </c>
      <c r="E4" s="369"/>
      <c r="F4" s="369"/>
      <c r="G4" s="369"/>
      <c r="H4" s="180"/>
      <c r="I4" s="180"/>
    </row>
    <row r="5" spans="1:9" ht="18" customHeight="1" x14ac:dyDescent="0.55000000000000004">
      <c r="D5" s="369"/>
      <c r="E5" s="369"/>
      <c r="F5" s="369"/>
      <c r="G5" s="369"/>
      <c r="H5" s="180"/>
      <c r="I5" s="180"/>
    </row>
    <row r="6" spans="1:9" ht="18" customHeight="1" x14ac:dyDescent="0.55000000000000004">
      <c r="D6" s="137"/>
      <c r="E6" s="140"/>
      <c r="F6" s="141"/>
      <c r="G6" s="144"/>
      <c r="H6" s="180"/>
      <c r="I6" s="180"/>
    </row>
    <row r="7" spans="1:9" ht="24" customHeight="1" x14ac:dyDescent="0.55000000000000004">
      <c r="A7" s="144" t="str">
        <f>'C'!B11</f>
        <v>請求先</v>
      </c>
      <c r="B7" s="370" t="str">
        <f>IF('C'!D11&lt;&gt;"",'C'!D11,'C'!F11)&amp;" "&amp;IF('C'!D12&lt;&gt;"",'C'!D12,'C'!F12)</f>
        <v>0 御中</v>
      </c>
      <c r="C7" s="370"/>
      <c r="D7" s="370"/>
      <c r="E7" s="370"/>
      <c r="F7" s="370"/>
      <c r="G7" s="372" t="s">
        <v>187</v>
      </c>
      <c r="H7" s="372"/>
      <c r="I7" s="372"/>
    </row>
    <row r="8" spans="1:9" ht="31" customHeight="1" x14ac:dyDescent="0.55000000000000004">
      <c r="B8" s="370"/>
      <c r="C8" s="370"/>
      <c r="D8" s="370"/>
      <c r="E8" s="370"/>
      <c r="F8" s="370"/>
      <c r="G8" s="372"/>
      <c r="H8" s="372"/>
      <c r="I8" s="372"/>
    </row>
    <row r="9" spans="1:9" ht="18" customHeight="1" x14ac:dyDescent="0.55000000000000004">
      <c r="A9" s="144" t="str">
        <f>'C'!B13</f>
        <v>請求先住所</v>
      </c>
      <c r="B9" s="371" t="str">
        <f>"〒"&amp;IF('C'!D13&lt;&gt;"",'C'!D13,'C'!F13)&amp;" "&amp;IF('C'!D14&lt;&gt;"",'C'!D14,'C'!F14)</f>
        <v>〒FALSE 様</v>
      </c>
      <c r="C9" s="371"/>
      <c r="D9" s="371"/>
      <c r="E9" s="371"/>
      <c r="F9" s="371"/>
      <c r="G9" s="372"/>
      <c r="H9" s="372"/>
      <c r="I9" s="372"/>
    </row>
    <row r="10" spans="1:9" ht="29.15" customHeight="1" x14ac:dyDescent="0.55000000000000004">
      <c r="B10" s="371"/>
      <c r="C10" s="371"/>
      <c r="D10" s="371"/>
      <c r="E10" s="371"/>
      <c r="F10" s="371"/>
      <c r="G10" s="372"/>
      <c r="H10" s="372"/>
      <c r="I10" s="372"/>
    </row>
    <row r="11" spans="1:9" ht="18" customHeight="1" x14ac:dyDescent="0.55000000000000004">
      <c r="A11" s="144" t="str">
        <f>'C'!B15</f>
        <v>電話</v>
      </c>
      <c r="B11" s="345" t="b">
        <f>IF('C'!D15&lt;&gt;"",'C'!D15,'C'!F15)</f>
        <v>0</v>
      </c>
      <c r="C11" s="345"/>
      <c r="D11" s="345"/>
      <c r="E11" s="345"/>
      <c r="F11" s="345"/>
      <c r="G11" s="372"/>
      <c r="H11" s="372"/>
      <c r="I11" s="372"/>
    </row>
    <row r="12" spans="1:9" ht="12.75" customHeight="1" x14ac:dyDescent="0.55000000000000004">
      <c r="B12" s="182"/>
      <c r="C12" s="182"/>
      <c r="D12" s="182"/>
      <c r="E12" s="182"/>
      <c r="F12" s="182"/>
      <c r="G12" s="182"/>
      <c r="H12" s="141"/>
      <c r="I12" s="142"/>
    </row>
    <row r="13" spans="1:9" x14ac:dyDescent="0.55000000000000004">
      <c r="B13" s="147" t="str">
        <f>'C'!B17</f>
        <v>品名</v>
      </c>
      <c r="E13" s="147" t="str">
        <f>'C'!B18</f>
        <v>支払形式</v>
      </c>
      <c r="F13" s="143"/>
      <c r="G13" s="143"/>
      <c r="H13" s="147" t="str">
        <f>'C'!B19</f>
        <v>支払期日</v>
      </c>
      <c r="I13" s="143"/>
    </row>
    <row r="14" spans="1:9" ht="27.65" customHeight="1" x14ac:dyDescent="0.55000000000000004">
      <c r="A14" s="356" t="e">
        <f>IF('C'!D17&lt;&gt;"",'C'!D17,'C'!F17)&amp;IF('C'!D23=""," "&amp;IF('C'!D24&lt;&gt;"",'C'!D24,'C'!F24)&amp;"分","")</f>
        <v>#N/A</v>
      </c>
      <c r="B14" s="357"/>
      <c r="C14" s="358"/>
      <c r="D14" s="356" t="b">
        <f>IF('C'!D18&lt;&gt;"",'C'!D18,'C'!F18)</f>
        <v>0</v>
      </c>
      <c r="E14" s="357"/>
      <c r="F14" s="358"/>
      <c r="G14" s="359" t="str">
        <f>IF('C'!D19&lt;&gt;"",'C'!D19,'C'!F19)</f>
        <v>請求日から 30 日以内</v>
      </c>
      <c r="H14" s="360"/>
      <c r="I14" s="361"/>
    </row>
    <row r="15" spans="1:9" ht="5.15" customHeight="1" x14ac:dyDescent="0.55000000000000004">
      <c r="F15" s="143"/>
      <c r="G15" s="143"/>
      <c r="H15" s="143"/>
      <c r="I15" s="143"/>
    </row>
    <row r="16" spans="1:9" x14ac:dyDescent="0.55000000000000004">
      <c r="A16" s="346" t="s">
        <v>151</v>
      </c>
      <c r="B16" s="347"/>
      <c r="C16" s="347"/>
      <c r="D16" s="348"/>
      <c r="E16" s="148" t="s">
        <v>152</v>
      </c>
      <c r="F16" s="148" t="s">
        <v>153</v>
      </c>
      <c r="G16" s="148" t="s">
        <v>154</v>
      </c>
      <c r="H16" s="349" t="s">
        <v>155</v>
      </c>
      <c r="I16" s="348"/>
    </row>
    <row r="17" spans="1:9" x14ac:dyDescent="0.55000000000000004">
      <c r="A17" s="365" t="s">
        <v>156</v>
      </c>
      <c r="B17" s="366"/>
      <c r="C17" s="176" t="e">
        <f>INDEX(banana!$E155:$P155,'C'!$G$24)</f>
        <v>#N/A</v>
      </c>
      <c r="D17" s="173"/>
      <c r="E17" s="175" t="e">
        <f>INDEX(banana!$E166:$P166,'C'!$G$24)</f>
        <v>#N/A</v>
      </c>
      <c r="F17" s="170" t="str">
        <f>IF(ISNUMBER(E17),1,"")</f>
        <v/>
      </c>
      <c r="G17" s="174"/>
      <c r="H17" s="332" t="str">
        <f>IF(ISNUMBER(E17),E17*F17,"")</f>
        <v/>
      </c>
      <c r="I17" s="333"/>
    </row>
    <row r="18" spans="1:9" x14ac:dyDescent="0.55000000000000004">
      <c r="A18" s="154" t="str">
        <f>banana!A25</f>
        <v>利用者</v>
      </c>
      <c r="B18" s="367" t="str">
        <f>REPUNAME&amp;" 様"</f>
        <v xml:space="preserve"> 様</v>
      </c>
      <c r="C18" s="367"/>
      <c r="D18" s="368"/>
      <c r="E18" s="167"/>
      <c r="F18" s="168"/>
      <c r="G18" s="168"/>
      <c r="H18" s="338"/>
      <c r="I18" s="339"/>
    </row>
    <row r="19" spans="1:9" ht="16" customHeight="1" x14ac:dyDescent="0.55000000000000004">
      <c r="A19" s="154" t="str">
        <f>IF('C'!D22="",'C'!B22,"")</f>
        <v>利用期間</v>
      </c>
      <c r="B19" s="342" t="e">
        <f>IF('C'!D22="",banana!A62&amp;" 年 "&amp;banana!C62&amp;" 月 ～ "&amp;IF(banana!A62&lt;&gt;banana!A63,banana!A63&amp;" 年 ","")&amp;banana!C63&amp;" 月","")</f>
        <v>#N/A</v>
      </c>
      <c r="C19" s="342"/>
      <c r="D19" s="339"/>
      <c r="E19" s="167"/>
      <c r="F19" s="168"/>
      <c r="G19" s="168"/>
      <c r="H19" s="338"/>
      <c r="I19" s="339"/>
    </row>
    <row r="20" spans="1:9" ht="12.65" customHeight="1" x14ac:dyDescent="0.55000000000000004">
      <c r="A20" s="155"/>
      <c r="B20" s="156"/>
      <c r="C20" s="157"/>
      <c r="D20" s="158"/>
      <c r="E20" s="167"/>
      <c r="F20" s="168"/>
      <c r="G20" s="171"/>
      <c r="H20" s="332"/>
      <c r="I20" s="333"/>
    </row>
    <row r="21" spans="1:9" ht="18" customHeight="1" x14ac:dyDescent="0.55000000000000004">
      <c r="A21" s="177" t="s">
        <v>157</v>
      </c>
      <c r="B21" s="156"/>
      <c r="C21" s="156"/>
      <c r="D21" s="158"/>
      <c r="E21" s="167"/>
      <c r="F21" s="168"/>
      <c r="G21" s="171"/>
      <c r="H21" s="332"/>
      <c r="I21" s="333"/>
    </row>
    <row r="22" spans="1:9" ht="12.65" customHeight="1" x14ac:dyDescent="0.55000000000000004">
      <c r="A22" s="178"/>
      <c r="B22" s="363" t="str">
        <f>banana!A167</f>
        <v>専有追加 (192 CPU コア単位)</v>
      </c>
      <c r="C22" s="363"/>
      <c r="D22" s="364"/>
      <c r="E22" s="167">
        <f>banana!$H48</f>
        <v>240000</v>
      </c>
      <c r="F22" s="168" t="e">
        <f>INDEX(banana!$E156:$P156,'C'!$G$24)</f>
        <v>#N/A</v>
      </c>
      <c r="G22" s="171"/>
      <c r="H22" s="332" t="e">
        <f>IF(ISNUMBER(E22),E22*F22,"")</f>
        <v>#N/A</v>
      </c>
      <c r="I22" s="333"/>
    </row>
    <row r="23" spans="1:9" ht="12.65" customHeight="1" x14ac:dyDescent="0.55000000000000004">
      <c r="A23" s="155"/>
      <c r="B23" s="363" t="str">
        <f>banana!A168</f>
        <v>共有追加 (310 CPU コア単位)</v>
      </c>
      <c r="C23" s="363"/>
      <c r="D23" s="364"/>
      <c r="E23" s="167">
        <f>banana!$H49</f>
        <v>38000</v>
      </c>
      <c r="F23" s="168" t="e">
        <f>INDEX(banana!$E157:$P157,'C'!$G$24)</f>
        <v>#N/A</v>
      </c>
      <c r="G23" s="171"/>
      <c r="H23" s="332" t="e">
        <f t="shared" ref="H23:H29" si="0">IF(ISNUMBER(E23),E23*F23,"")</f>
        <v>#N/A</v>
      </c>
      <c r="I23" s="333"/>
    </row>
    <row r="24" spans="1:9" ht="12.65" customHeight="1" x14ac:dyDescent="0.55000000000000004">
      <c r="A24" s="155"/>
      <c r="B24" s="363" t="str">
        <f>banana!A169</f>
        <v>計算ノード Fat 追加 (8 CPU コア単位)</v>
      </c>
      <c r="C24" s="363"/>
      <c r="D24" s="364"/>
      <c r="E24" s="167">
        <f>banana!$H50</f>
        <v>4500</v>
      </c>
      <c r="F24" s="168" t="e">
        <f>INDEX(banana!$E158:$P158,'C'!$G$24)</f>
        <v>#N/A</v>
      </c>
      <c r="G24" s="171"/>
      <c r="H24" s="332" t="e">
        <f t="shared" si="0"/>
        <v>#N/A</v>
      </c>
      <c r="I24" s="333"/>
    </row>
    <row r="25" spans="1:9" ht="12.65" customHeight="1" x14ac:dyDescent="0.55000000000000004">
      <c r="A25" s="155"/>
      <c r="B25" s="363" t="str">
        <f>banana!A170</f>
        <v>アクセラレータ V100 追加 (1 GPU 単位)</v>
      </c>
      <c r="C25" s="363"/>
      <c r="D25" s="364"/>
      <c r="E25" s="167">
        <f>banana!$H51</f>
        <v>22000</v>
      </c>
      <c r="F25" s="168" t="e">
        <f>INDEX(banana!$E159:$P159,'C'!$G$24)</f>
        <v>#N/A</v>
      </c>
      <c r="G25" s="171"/>
      <c r="H25" s="332" t="e">
        <f t="shared" si="0"/>
        <v>#N/A</v>
      </c>
      <c r="I25" s="333"/>
    </row>
    <row r="26" spans="1:9" ht="12.65" customHeight="1" x14ac:dyDescent="0.55000000000000004">
      <c r="A26" s="155"/>
      <c r="B26" s="363" t="str">
        <f>banana!A171</f>
        <v>アクセラレータ A100 追加 (1 GPU 単位)</v>
      </c>
      <c r="C26" s="363"/>
      <c r="D26" s="364"/>
      <c r="E26" s="167">
        <f>banana!$H52</f>
        <v>44000</v>
      </c>
      <c r="F26" s="168" t="e">
        <f>INDEX(banana!$E160:$P160,'C'!$G$24)</f>
        <v>#N/A</v>
      </c>
      <c r="G26" s="171"/>
      <c r="H26" s="332" t="e">
        <f t="shared" ref="H26" si="1">IF(ISNUMBER(E26),E26*F26,"")</f>
        <v>#N/A</v>
      </c>
      <c r="I26" s="333"/>
    </row>
    <row r="27" spans="1:9" ht="12.65" customHeight="1" x14ac:dyDescent="0.55000000000000004">
      <c r="A27" s="155"/>
      <c r="B27" s="363" t="str">
        <f>banana!A173</f>
        <v>ホーム Disk 容量追加 (1 TiB 単位)</v>
      </c>
      <c r="C27" s="363"/>
      <c r="D27" s="364"/>
      <c r="E27" s="167">
        <f>banana!$H54</f>
        <v>6000</v>
      </c>
      <c r="F27" s="168" t="e">
        <f>INDEX(banana!$E162:$P162,'C'!$G$24)</f>
        <v>#N/A</v>
      </c>
      <c r="G27" s="171"/>
      <c r="H27" s="332" t="e">
        <f t="shared" si="0"/>
        <v>#N/A</v>
      </c>
      <c r="I27" s="333"/>
    </row>
    <row r="28" spans="1:9" ht="12.65" customHeight="1" x14ac:dyDescent="0.55000000000000004">
      <c r="A28" s="155"/>
      <c r="B28" s="363" t="str">
        <f>banana!A174</f>
        <v>アーカイブ Disk 追加 (1 TiB 単位)</v>
      </c>
      <c r="C28" s="363"/>
      <c r="D28" s="364"/>
      <c r="E28" s="167">
        <f>banana!$H55</f>
        <v>300</v>
      </c>
      <c r="F28" s="168" t="e">
        <f>INDEX(banana!$E163:$P163,'C'!$G$24)</f>
        <v>#N/A</v>
      </c>
      <c r="G28" s="171"/>
      <c r="H28" s="332" t="e">
        <f t="shared" si="0"/>
        <v>#N/A</v>
      </c>
      <c r="I28" s="333"/>
    </row>
    <row r="29" spans="1:9" ht="12.65" customHeight="1" x14ac:dyDescent="0.55000000000000004">
      <c r="A29" s="155"/>
      <c r="B29" s="363" t="str">
        <f>banana!A175</f>
        <v>サポートポイント【SP】</v>
      </c>
      <c r="C29" s="363"/>
      <c r="D29" s="364"/>
      <c r="E29" s="167">
        <f>banana!$A$112</f>
        <v>5000</v>
      </c>
      <c r="F29" s="168" t="e">
        <f>INDEX(banana!$E164:$P164,'C'!$G$24)</f>
        <v>#N/A</v>
      </c>
      <c r="G29" s="171"/>
      <c r="H29" s="332" t="e">
        <f t="shared" si="0"/>
        <v>#N/A</v>
      </c>
      <c r="I29" s="333"/>
    </row>
    <row r="30" spans="1:9" ht="12.65" customHeight="1" x14ac:dyDescent="0.55000000000000004">
      <c r="A30" s="155"/>
      <c r="B30" s="156"/>
      <c r="C30" s="156"/>
      <c r="D30" s="158"/>
      <c r="E30" s="167"/>
      <c r="F30" s="168"/>
      <c r="G30" s="171"/>
      <c r="H30" s="332"/>
      <c r="I30" s="333"/>
    </row>
    <row r="31" spans="1:9" ht="18" customHeight="1" x14ac:dyDescent="0.55000000000000004">
      <c r="A31" s="177" t="s">
        <v>163</v>
      </c>
      <c r="B31" s="156"/>
      <c r="C31" s="157"/>
      <c r="D31" s="158"/>
      <c r="E31" s="167"/>
      <c r="F31" s="168"/>
      <c r="G31" s="171"/>
      <c r="H31" s="332"/>
      <c r="I31" s="333"/>
    </row>
    <row r="32" spans="1:9" ht="12.65" customHeight="1" x14ac:dyDescent="0.55000000000000004">
      <c r="A32" s="178" t="str">
        <f>banana!A167</f>
        <v>専有追加 (192 CPU コア単位)</v>
      </c>
      <c r="B32" s="156"/>
      <c r="C32" s="156"/>
      <c r="D32" s="184" t="e">
        <f>INDEX(banana!$E182:$P182,'C'!$G$24)</f>
        <v>#N/A</v>
      </c>
      <c r="E32" s="167"/>
      <c r="F32" s="168"/>
      <c r="G32" s="171"/>
      <c r="H32" s="332"/>
      <c r="I32" s="333"/>
    </row>
    <row r="33" spans="1:9" ht="12.65" customHeight="1" x14ac:dyDescent="0.55000000000000004">
      <c r="A33" s="178" t="str">
        <f>banana!A168</f>
        <v>共有追加 (310 CPU コア単位)</v>
      </c>
      <c r="B33" s="156"/>
      <c r="C33" s="157"/>
      <c r="D33" s="184" t="e">
        <f>INDEX(banana!$E183:$P183,'C'!$G$24)</f>
        <v>#N/A</v>
      </c>
      <c r="E33" s="167"/>
      <c r="F33" s="168"/>
      <c r="G33" s="171"/>
      <c r="H33" s="332"/>
      <c r="I33" s="333"/>
    </row>
    <row r="34" spans="1:9" ht="12.65" customHeight="1" x14ac:dyDescent="0.55000000000000004">
      <c r="A34" s="178" t="str">
        <f>banana!A169</f>
        <v>計算ノード Fat 追加 (8 CPU コア単位)</v>
      </c>
      <c r="B34" s="156"/>
      <c r="C34" s="156"/>
      <c r="D34" s="184" t="e">
        <f>INDEX(banana!$E184:$P184,'C'!$G$24)</f>
        <v>#N/A</v>
      </c>
      <c r="E34" s="167"/>
      <c r="F34" s="168"/>
      <c r="G34" s="171"/>
      <c r="H34" s="332"/>
      <c r="I34" s="333"/>
    </row>
    <row r="35" spans="1:9" ht="12.65" customHeight="1" x14ac:dyDescent="0.55000000000000004">
      <c r="A35" s="178" t="str">
        <f>banana!A170</f>
        <v>アクセラレータ V100 追加 (1 GPU 単位)</v>
      </c>
      <c r="B35" s="156"/>
      <c r="C35" s="157"/>
      <c r="D35" s="184" t="e">
        <f>INDEX(banana!$E185:$P185,'C'!$G$24)</f>
        <v>#N/A</v>
      </c>
      <c r="E35" s="167"/>
      <c r="F35" s="168"/>
      <c r="G35" s="171"/>
      <c r="H35" s="332"/>
      <c r="I35" s="333"/>
    </row>
    <row r="36" spans="1:9" ht="12.65" customHeight="1" x14ac:dyDescent="0.55000000000000004">
      <c r="A36" s="178" t="str">
        <f>banana!A171</f>
        <v>アクセラレータ A100 追加 (1 GPU 単位)</v>
      </c>
      <c r="B36" s="156"/>
      <c r="C36" s="157"/>
      <c r="D36" s="184" t="e">
        <f>INDEX(banana!$E186:$P186,'C'!$G$24)</f>
        <v>#N/A</v>
      </c>
      <c r="E36" s="167"/>
      <c r="F36" s="168"/>
      <c r="G36" s="171"/>
      <c r="H36" s="332"/>
      <c r="I36" s="333"/>
    </row>
    <row r="37" spans="1:9" ht="12.65" customHeight="1" x14ac:dyDescent="0.55000000000000004">
      <c r="A37" s="178" t="str">
        <f>banana!A188&amp;" "&amp;banana!B188</f>
        <v>ホーム Disk 容量 (TiB)</v>
      </c>
      <c r="B37" s="156"/>
      <c r="C37" s="156"/>
      <c r="D37" s="184" t="e">
        <f>INDEX(banana!$E188:$P188,'C'!$G$24)</f>
        <v>#N/A</v>
      </c>
      <c r="E37" s="167"/>
      <c r="F37" s="168"/>
      <c r="G37" s="171"/>
      <c r="H37" s="332"/>
      <c r="I37" s="333"/>
    </row>
    <row r="38" spans="1:9" ht="12.65" customHeight="1" x14ac:dyDescent="0.55000000000000004">
      <c r="A38" s="178" t="str">
        <f>banana!A188&amp;" "&amp;banana!B189</f>
        <v>ホーム Disk ファイル数 (百万)</v>
      </c>
      <c r="B38" s="156"/>
      <c r="C38" s="157"/>
      <c r="D38" s="184" t="e">
        <f>INDEX(banana!$E189:$P189,'C'!$G$24)</f>
        <v>#N/A</v>
      </c>
      <c r="E38" s="168"/>
      <c r="F38" s="168"/>
      <c r="G38" s="171"/>
      <c r="H38" s="332"/>
      <c r="I38" s="333"/>
    </row>
    <row r="39" spans="1:9" ht="12.65" customHeight="1" x14ac:dyDescent="0.55000000000000004">
      <c r="A39" s="178" t="str">
        <f>banana!A174</f>
        <v>アーカイブ Disk 追加 (1 TiB 単位)</v>
      </c>
      <c r="B39" s="156"/>
      <c r="C39" s="159"/>
      <c r="D39" s="184" t="e">
        <f>INDEX(banana!$E190:$P190,'C'!$G$24)</f>
        <v>#N/A</v>
      </c>
      <c r="E39" s="168"/>
      <c r="F39" s="168"/>
      <c r="G39" s="171"/>
      <c r="H39" s="332"/>
      <c r="I39" s="333"/>
    </row>
    <row r="40" spans="1:9" ht="12.65" customHeight="1" x14ac:dyDescent="0.55000000000000004">
      <c r="A40" s="178" t="str">
        <f>banana!A191</f>
        <v>データ転送量</v>
      </c>
      <c r="B40" s="156"/>
      <c r="C40" s="161"/>
      <c r="D40" s="179" t="e">
        <f>INDEX(banana!$E191:$P191,'C'!$G$24)</f>
        <v>#N/A</v>
      </c>
      <c r="E40" s="168" t="e">
        <f>IF(banana!$N$68,banana!$N$166,"")</f>
        <v>#N/A</v>
      </c>
      <c r="F40" s="168"/>
      <c r="G40" s="171" t="str">
        <f t="shared" ref="G40:G42" si="2">IF(ISNUMBER(E40),1,"")</f>
        <v/>
      </c>
      <c r="H40" s="332" t="str">
        <f t="shared" ref="H40:H42" si="3">IF(ISNUMBER(E40),E40*G40,"")</f>
        <v/>
      </c>
      <c r="I40" s="333"/>
    </row>
    <row r="41" spans="1:9" ht="12.65" customHeight="1" x14ac:dyDescent="0.55000000000000004">
      <c r="A41" s="178"/>
      <c r="B41" s="156"/>
      <c r="C41" s="159"/>
      <c r="D41" s="160"/>
      <c r="E41" s="168" t="e">
        <f>IF(banana!$N$68,banana!$N$177,"")</f>
        <v>#N/A</v>
      </c>
      <c r="F41" s="168"/>
      <c r="G41" s="171" t="str">
        <f t="shared" si="2"/>
        <v/>
      </c>
      <c r="H41" s="332" t="str">
        <f t="shared" si="3"/>
        <v/>
      </c>
      <c r="I41" s="333"/>
    </row>
    <row r="42" spans="1:9" ht="12.65" customHeight="1" x14ac:dyDescent="0.55000000000000004">
      <c r="A42" s="162"/>
      <c r="B42" s="163"/>
      <c r="C42" s="164"/>
      <c r="D42" s="165"/>
      <c r="E42" s="169" t="e">
        <f>IF(banana!$P$68,banana!$P$177,"")</f>
        <v>#N/A</v>
      </c>
      <c r="F42" s="169"/>
      <c r="G42" s="172" t="str">
        <f t="shared" si="2"/>
        <v/>
      </c>
      <c r="H42" s="334" t="str">
        <f t="shared" si="3"/>
        <v/>
      </c>
      <c r="I42" s="335"/>
    </row>
    <row r="43" spans="1:9" x14ac:dyDescent="0.55000000000000004">
      <c r="A43" s="149"/>
      <c r="B43" s="150"/>
      <c r="C43" s="150"/>
      <c r="D43" s="150"/>
      <c r="E43" s="150"/>
      <c r="F43" s="150"/>
      <c r="G43" s="151" t="s">
        <v>158</v>
      </c>
      <c r="H43" s="336" t="e">
        <f>SUM(H17:I42)</f>
        <v>#N/A</v>
      </c>
      <c r="I43" s="337"/>
    </row>
    <row r="44" spans="1:9" ht="5.15" customHeight="1" x14ac:dyDescent="0.55000000000000004">
      <c r="C44" s="4"/>
      <c r="D44" s="4"/>
      <c r="E44" s="4"/>
    </row>
    <row r="45" spans="1:9" ht="18" customHeight="1" x14ac:dyDescent="0.55000000000000004">
      <c r="A45" s="183" t="s">
        <v>150</v>
      </c>
      <c r="B45" s="352"/>
      <c r="C45" s="353"/>
      <c r="D45" s="353"/>
      <c r="E45" s="353"/>
      <c r="F45" s="353"/>
      <c r="G45" s="353"/>
      <c r="H45" s="353"/>
      <c r="I45" s="354"/>
    </row>
    <row r="46" spans="1:9" ht="5.15" customHeight="1" x14ac:dyDescent="0.55000000000000004">
      <c r="C46" s="4"/>
      <c r="D46" s="4"/>
      <c r="E46" s="4"/>
    </row>
  </sheetData>
  <mergeCells count="51">
    <mergeCell ref="A14:C14"/>
    <mergeCell ref="D14:F14"/>
    <mergeCell ref="G14:I14"/>
    <mergeCell ref="D4:G5"/>
    <mergeCell ref="B7:F8"/>
    <mergeCell ref="G7:I11"/>
    <mergeCell ref="B9:F10"/>
    <mergeCell ref="B11:F11"/>
    <mergeCell ref="A16:D16"/>
    <mergeCell ref="H16:I16"/>
    <mergeCell ref="A17:B17"/>
    <mergeCell ref="H17:I17"/>
    <mergeCell ref="B18:D18"/>
    <mergeCell ref="H18:I18"/>
    <mergeCell ref="B19:D19"/>
    <mergeCell ref="H19:I19"/>
    <mergeCell ref="H20:I20"/>
    <mergeCell ref="H21:I21"/>
    <mergeCell ref="B22:D22"/>
    <mergeCell ref="H22:I22"/>
    <mergeCell ref="B29:D29"/>
    <mergeCell ref="H34:I34"/>
    <mergeCell ref="B23:D23"/>
    <mergeCell ref="H23:I23"/>
    <mergeCell ref="B24:D24"/>
    <mergeCell ref="H24:I24"/>
    <mergeCell ref="B25:D25"/>
    <mergeCell ref="H25:I25"/>
    <mergeCell ref="H29:I29"/>
    <mergeCell ref="H30:I30"/>
    <mergeCell ref="H31:I31"/>
    <mergeCell ref="H32:I32"/>
    <mergeCell ref="H33:I33"/>
    <mergeCell ref="B26:D26"/>
    <mergeCell ref="H26:I26"/>
    <mergeCell ref="H36:I36"/>
    <mergeCell ref="H1:I1"/>
    <mergeCell ref="H2:I2"/>
    <mergeCell ref="H43:I43"/>
    <mergeCell ref="B45:I45"/>
    <mergeCell ref="H37:I37"/>
    <mergeCell ref="H38:I38"/>
    <mergeCell ref="H39:I39"/>
    <mergeCell ref="H40:I40"/>
    <mergeCell ref="H41:I41"/>
    <mergeCell ref="H42:I42"/>
    <mergeCell ref="H35:I35"/>
    <mergeCell ref="B27:D27"/>
    <mergeCell ref="H27:I27"/>
    <mergeCell ref="B28:D28"/>
    <mergeCell ref="H28:I28"/>
  </mergeCells>
  <phoneticPr fontId="2"/>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213"/>
  <sheetViews>
    <sheetView workbookViewId="0">
      <pane ySplit="1" topLeftCell="A2" activePane="bottomLeft" state="frozen"/>
      <selection activeCell="E47" sqref="A1:XFD1048576"/>
      <selection pane="bottomLeft" activeCell="B7" sqref="B7:C7"/>
    </sheetView>
  </sheetViews>
  <sheetFormatPr defaultRowHeight="18" x14ac:dyDescent="0.55000000000000004"/>
  <cols>
    <col min="2" max="2" width="8.58203125" customWidth="1"/>
  </cols>
  <sheetData>
    <row r="1" spans="1:12" x14ac:dyDescent="0.55000000000000004">
      <c r="A1" s="206" t="s">
        <v>23</v>
      </c>
      <c r="B1" s="206"/>
      <c r="C1" s="210" t="s">
        <v>18</v>
      </c>
      <c r="D1" s="210"/>
      <c r="E1" s="206" t="s">
        <v>19</v>
      </c>
      <c r="F1" s="206"/>
      <c r="G1" s="206" t="s">
        <v>20</v>
      </c>
      <c r="H1" s="206"/>
      <c r="I1" s="206" t="s">
        <v>21</v>
      </c>
      <c r="J1" s="206"/>
      <c r="K1" s="206" t="s">
        <v>22</v>
      </c>
      <c r="L1" s="206"/>
    </row>
    <row r="2" spans="1:12" x14ac:dyDescent="0.55000000000000004">
      <c r="B2" t="str">
        <f>banana!C1</f>
        <v>東京大学医科学研究所ヒトゲノム解析センター計算機システム</v>
      </c>
    </row>
    <row r="3" spans="1:12" ht="22.5" x14ac:dyDescent="0.55000000000000004">
      <c r="B3" s="2" t="str">
        <f>IF(L,"入力シート (1/4) SHIROKANE "&amp;banana!$G$18&amp;"利用申請書","Input sheet (1/4) for Application for SHIROKANE "&amp;banana!$G$18&amp;" Use")</f>
        <v>入力シート (1/4) SHIROKANE 利用申請書</v>
      </c>
    </row>
    <row r="4" spans="1:12" x14ac:dyDescent="0.55000000000000004">
      <c r="B4" s="195" t="str">
        <f ca="1">banana!J34</f>
        <v/>
      </c>
    </row>
    <row r="5" spans="1:12" ht="22.5" x14ac:dyDescent="0.55000000000000004">
      <c r="B5" s="2" t="s">
        <v>0</v>
      </c>
    </row>
    <row r="6" spans="1:12" ht="18.5" thickBot="1" x14ac:dyDescent="0.6"/>
    <row r="7" spans="1:12" ht="27" thickBot="1" x14ac:dyDescent="0.6">
      <c r="B7" s="223" t="s">
        <v>193</v>
      </c>
      <c r="C7" s="224"/>
    </row>
    <row r="8" spans="1:12" ht="18.75" customHeight="1" x14ac:dyDescent="0.55000000000000004"/>
    <row r="9" spans="1:12" x14ac:dyDescent="0.55000000000000004">
      <c r="B9" s="375" t="s">
        <v>195</v>
      </c>
    </row>
    <row r="10" spans="1:12" ht="22.5" x14ac:dyDescent="0.55000000000000004">
      <c r="B10" s="2" t="str">
        <f>IF(L,"申請の日付","Date of application")</f>
        <v>申請の日付</v>
      </c>
    </row>
    <row r="11" spans="1:12" ht="18.5" thickBot="1" x14ac:dyDescent="0.6"/>
    <row r="12" spans="1:12" ht="27" thickBot="1" x14ac:dyDescent="0.6">
      <c r="A12" s="66" t="s">
        <v>93</v>
      </c>
      <c r="B12" s="225"/>
      <c r="C12" s="213"/>
      <c r="D12" s="213"/>
      <c r="E12" s="213"/>
      <c r="F12" t="str">
        <f ca="1">IF(L," 本日は、"," Today is ")&amp;YEAR(TODAY())&amp;"/"&amp;MONTH(TODAY())&amp;"/"&amp;DAY(TODAY())</f>
        <v xml:space="preserve"> 本日は、2025/12/11</v>
      </c>
    </row>
    <row r="14" spans="1:12" x14ac:dyDescent="0.55000000000000004">
      <c r="B14" s="375" t="str">
        <f>B9</f>
        <v>この様式は、 2026 年 3 月までが利用開始の申請に限り使用できます。 2026 年 4 月以降が利用開始の申請には使用できません。</v>
      </c>
    </row>
    <row r="15" spans="1:12" ht="22.5" x14ac:dyDescent="0.55000000000000004">
      <c r="B15" s="3" t="str">
        <f>IF(L,"センターの利用規程を熟読しましたか","Did you carefully read the center's terms of use?")</f>
        <v>センターの利用規程を熟読しましたか</v>
      </c>
    </row>
    <row r="16" spans="1:12" x14ac:dyDescent="0.55000000000000004">
      <c r="B16" s="207" t="str">
        <f>IF(L,HYPERLINK("https://gc.hgc.jp/kitei/"),HYPERLINK("https://gc.hgc.jp/en/kitei/"))</f>
        <v>https://gc.hgc.jp/kitei/</v>
      </c>
      <c r="C16" s="207"/>
      <c r="D16" s="207"/>
      <c r="E16" s="207"/>
      <c r="F16" s="207"/>
      <c r="G16" s="207"/>
      <c r="H16" s="207"/>
      <c r="I16" s="207"/>
      <c r="J16" s="207"/>
    </row>
    <row r="17" spans="1:5" x14ac:dyDescent="0.55000000000000004">
      <c r="B17" t="str">
        <f>IF(L,"読んでいない場合には利用を認めることはありません。","If you do not read, we will reject your application.")</f>
        <v>読んでいない場合には利用を認めることはありません。</v>
      </c>
    </row>
    <row r="18" spans="1:5" ht="18.5" thickBot="1" x14ac:dyDescent="0.6"/>
    <row r="19" spans="1:5" ht="27" thickBot="1" x14ac:dyDescent="0.6">
      <c r="A19" s="66" t="s">
        <v>93</v>
      </c>
      <c r="B19" s="213"/>
      <c r="C19" s="213"/>
      <c r="D19" s="213"/>
      <c r="E19" s="213"/>
    </row>
    <row r="21" spans="1:5" x14ac:dyDescent="0.55000000000000004">
      <c r="B21" s="375" t="str">
        <f>B9</f>
        <v>この様式は、 2026 年 3 月までが利用開始の申請に限り使用できます。 2026 年 4 月以降が利用開始の申請には使用できません。</v>
      </c>
    </row>
    <row r="22" spans="1:5" ht="22.5" x14ac:dyDescent="0.55000000000000004">
      <c r="B22" s="2" t="str">
        <f>IF(L,"センターの利用規程を遵守することに同意しますか","Do you agree to the terms of use?")</f>
        <v>センターの利用規程を遵守することに同意しますか</v>
      </c>
    </row>
    <row r="23" spans="1:5" x14ac:dyDescent="0.55000000000000004">
      <c r="B23" t="str">
        <f>IF(L,"同意がない場合審査をしません。","If you do not agree, we will reject your application.")</f>
        <v>同意がない場合審査をしません。</v>
      </c>
    </row>
    <row r="24" spans="1:5" ht="18.5" thickBot="1" x14ac:dyDescent="0.6"/>
    <row r="25" spans="1:5" ht="27" thickBot="1" x14ac:dyDescent="0.6">
      <c r="A25" s="66" t="s">
        <v>93</v>
      </c>
      <c r="B25" s="213"/>
      <c r="C25" s="213"/>
      <c r="D25" s="213"/>
      <c r="E25" s="213"/>
    </row>
    <row r="27" spans="1:5" x14ac:dyDescent="0.55000000000000004">
      <c r="B27" s="375" t="str">
        <f>B9</f>
        <v>この様式は、 2026 年 3 月までが利用開始の申請に限り使用できます。 2026 年 4 月以降が利用開始の申請には使用できません。</v>
      </c>
    </row>
    <row r="28" spans="1:5" ht="22.5" x14ac:dyDescent="0.55000000000000004">
      <c r="B28" s="3" t="str">
        <f>IF(L,"申請区分","Application Type")</f>
        <v>申請区分</v>
      </c>
    </row>
    <row r="29" spans="1:5" x14ac:dyDescent="0.55000000000000004">
      <c r="B29" t="str">
        <f>banana!C14&amp;": "&amp;IF(L," 初めての利用、前回の利用からの継続した利用、申請内容の変更"," For the first time of use, Continuous use, Change of application")</f>
        <v>利用:  初めての利用、前回の利用からの継続した利用、申請内容の変更</v>
      </c>
    </row>
    <row r="30" spans="1:5" x14ac:dyDescent="0.55000000000000004">
      <c r="B30" t="str">
        <f>banana!C15&amp;": "&amp;IF(L," 申請に基づく利用期間内または利用期間満了時の利用の終了"," Termination of use within the usage period or upon expiration of the usage period in accordance with the application")</f>
        <v>停止:  申請に基づく利用期間内または利用期間満了時の利用の終了</v>
      </c>
    </row>
    <row r="31" spans="1:5" x14ac:dyDescent="0.55000000000000004">
      <c r="B31" t="str">
        <f>banana!C16&amp;": "&amp;IF(L," 見積書の申請"," Request for Quotes")</f>
        <v>見積:  見積書の申請</v>
      </c>
    </row>
    <row r="32" spans="1:5" ht="18.5" thickBot="1" x14ac:dyDescent="0.6"/>
    <row r="33" spans="1:10" ht="27" thickBot="1" x14ac:dyDescent="0.6">
      <c r="A33" s="66" t="s">
        <v>93</v>
      </c>
      <c r="B33" s="213"/>
      <c r="C33" s="213"/>
      <c r="E33" t="str">
        <f>IF(banana!D15,IF(L," 停止の場合、「成果物リスト」を support@hgc.jp 宛に送付してください。"," In case of ""suspending"" please send ''the list of published papers and thepublished web sites'' to support@hgc.jp."),"")</f>
        <v/>
      </c>
    </row>
    <row r="35" spans="1:10" x14ac:dyDescent="0.55000000000000004">
      <c r="B35" s="375" t="str">
        <f>B9</f>
        <v>この様式は、 2026 年 3 月までが利用開始の申請に限り使用できます。 2026 年 4 月以降が利用開始の申請には使用できません。</v>
      </c>
      <c r="F35" s="6"/>
    </row>
    <row r="36" spans="1:10" ht="22.5" x14ac:dyDescent="0.55000000000000004">
      <c r="B36" s="2" t="str">
        <f>IF(L,"申請者区分","Section")</f>
        <v>申請者区分</v>
      </c>
    </row>
    <row r="37" spans="1:10" ht="18.5" thickBot="1" x14ac:dyDescent="0.6"/>
    <row r="38" spans="1:10" ht="27" thickBot="1" x14ac:dyDescent="0.6">
      <c r="A38" s="66" t="s">
        <v>93</v>
      </c>
      <c r="B38" s="213"/>
      <c r="C38" s="213"/>
    </row>
    <row r="40" spans="1:10" x14ac:dyDescent="0.55000000000000004">
      <c r="B40" s="375" t="str">
        <f>B9</f>
        <v>この様式は、 2026 年 3 月までが利用開始の申請に限り使用できます。 2026 年 4 月以降が利用開始の申請には使用できません。</v>
      </c>
    </row>
    <row r="41" spans="1:10" ht="22.5" x14ac:dyDescent="0.55000000000000004">
      <c r="B41" s="2" t="str">
        <f>IF(L,"利用申請情報","Application information")</f>
        <v>利用申請情報</v>
      </c>
    </row>
    <row r="43" spans="1:10" ht="22.5" x14ac:dyDescent="0.55000000000000004">
      <c r="C43" s="2" t="str">
        <f>IF(L,"課題名 (英文も可)","Research topic")</f>
        <v>課題名 (英文も可)</v>
      </c>
    </row>
    <row r="44" spans="1:10" ht="18.5" thickBot="1" x14ac:dyDescent="0.6"/>
    <row r="45" spans="1:10" ht="52.5" customHeight="1" thickBot="1" x14ac:dyDescent="0.6">
      <c r="B45" s="66" t="s">
        <v>93</v>
      </c>
      <c r="C45" s="214"/>
      <c r="D45" s="214"/>
      <c r="E45" s="214"/>
      <c r="F45" s="214"/>
      <c r="G45" s="214"/>
      <c r="H45" s="214"/>
      <c r="I45" s="214"/>
      <c r="J45" s="214"/>
    </row>
    <row r="48" spans="1:10" ht="22.5" x14ac:dyDescent="0.55000000000000004">
      <c r="C48" s="2" t="str">
        <f>IF(L,"研究課題の内容","Details of research")</f>
        <v>研究課題の内容</v>
      </c>
    </row>
    <row r="49" spans="2:12" ht="18.5" thickBot="1" x14ac:dyDescent="0.6"/>
    <row r="50" spans="2:12" ht="123" customHeight="1" thickBot="1" x14ac:dyDescent="0.6">
      <c r="B50" s="66" t="s">
        <v>93</v>
      </c>
      <c r="C50" s="215"/>
      <c r="D50" s="215"/>
      <c r="E50" s="215"/>
      <c r="F50" s="215"/>
      <c r="G50" s="215"/>
      <c r="H50" s="215"/>
      <c r="I50" s="215"/>
      <c r="J50" s="215"/>
    </row>
    <row r="53" spans="2:12" ht="22.5" x14ac:dyDescent="0.55000000000000004">
      <c r="C53" s="2" t="str">
        <f>IF(L,"継続して利用するグループ名 (記入は必須)、希望新規グループ名（省略可）","Group name for continued use (Input Required) / Requested new group name (Optional)")</f>
        <v>継続して利用するグループ名 (記入は必須)、希望新規グループ名（省略可）</v>
      </c>
    </row>
    <row r="54" spans="2:12" ht="99" customHeight="1" x14ac:dyDescent="0.55000000000000004">
      <c r="C54" s="205" t="str">
        <f>IF(L,"これまでの利用を継続する場合、継続するグループ名を記入してください。はじめての利用か別のグループを作成する場合、希望新規グループ名を記入してください。ただし、希望グループ名の記入を省略することができます。希望新規グループ名は省略することをお勧めします。","If you are continuing to use a previous group, please enter the name of that group. "&amp;"If the requested new group name is omitted, we make the group name with the mechanical number. Because number group name has anonymity, we recommend omitting the desired group name.")</f>
        <v>これまでの利用を継続する場合、継続するグループ名を記入してください。はじめての利用か別のグループを作成する場合、希望新規グループ名を記入してください。ただし、希望グループ名の記入を省略することができます。希望新規グループ名は省略することをお勧めします。</v>
      </c>
      <c r="D54" s="205"/>
      <c r="E54" s="205"/>
      <c r="F54" s="205"/>
      <c r="G54" s="205"/>
      <c r="H54" s="205"/>
      <c r="I54" s="205"/>
      <c r="J54" s="205"/>
      <c r="K54" s="205"/>
      <c r="L54" s="205"/>
    </row>
    <row r="56" spans="2:12" ht="22.5" x14ac:dyDescent="0.55000000000000004">
      <c r="D56" s="2" t="str">
        <f>IF(L,"継続して利用するグループ名 (必須)、希望新規グループ名第 1 希望 (Optional)","Group name for continued use, First choice")</f>
        <v>継続して利用するグループ名 (必須)、希望新規グループ名第 1 希望 (Optional)</v>
      </c>
    </row>
    <row r="57" spans="2:12" ht="18.5" thickBot="1" x14ac:dyDescent="0.6">
      <c r="D57" t="str">
        <f>IF(L,"8 文字までの小文字アルファベット 26 種、数字 10 種、ハイフン、アンダーバー","Up to 8 lowercase alphabetic 26 characters, numbers, hyphens, and underscores")</f>
        <v>8 文字までの小文字アルファベット 26 種、数字 10 種、ハイフン、アンダーバー</v>
      </c>
    </row>
    <row r="58" spans="2:12" ht="27" thickBot="1" x14ac:dyDescent="0.6">
      <c r="C58" s="66" t="s">
        <v>93</v>
      </c>
      <c r="D58" s="213"/>
      <c r="E58" s="213"/>
      <c r="F58" s="213"/>
      <c r="G58" s="213"/>
    </row>
    <row r="61" spans="2:12" ht="22.5" x14ac:dyDescent="0.55000000000000004">
      <c r="D61" s="2" t="str">
        <f>IF(L,"第 2 希望","Second choice")</f>
        <v>第 2 希望</v>
      </c>
    </row>
    <row r="62" spans="2:12" ht="18.5" thickBot="1" x14ac:dyDescent="0.6"/>
    <row r="63" spans="2:12" ht="27" thickBot="1" x14ac:dyDescent="0.6">
      <c r="D63" s="213"/>
      <c r="E63" s="213"/>
      <c r="F63" s="213"/>
      <c r="G63" s="213"/>
    </row>
    <row r="66" spans="2:12" ht="22.5" x14ac:dyDescent="0.55000000000000004">
      <c r="D66" s="2" t="str">
        <f>IF(L,"第 3 希望","Third choice")</f>
        <v>第 3 希望</v>
      </c>
    </row>
    <row r="67" spans="2:12" ht="18.5" thickBot="1" x14ac:dyDescent="0.6"/>
    <row r="68" spans="2:12" ht="27" thickBot="1" x14ac:dyDescent="0.6">
      <c r="D68" s="213"/>
      <c r="E68" s="213"/>
      <c r="F68" s="213"/>
      <c r="G68" s="213"/>
    </row>
    <row r="70" spans="2:12" x14ac:dyDescent="0.55000000000000004">
      <c r="B70" s="375" t="str">
        <f>B9</f>
        <v>この様式は、 2026 年 3 月までが利用開始の申請に限り使用できます。 2026 年 4 月以降が利用開始の申請には使用できません。</v>
      </c>
    </row>
    <row r="71" spans="2:12" ht="22.5" x14ac:dyDescent="0.55000000000000004">
      <c r="B71" s="2" t="str">
        <f>banana!C26</f>
        <v>まとめ利用者</v>
      </c>
    </row>
    <row r="73" spans="2:12" ht="84.75" customHeight="1" x14ac:dyDescent="0.55000000000000004">
      <c r="B73" s="211" t="str">
        <f>IF(L,banana!C26&amp;"とは、グループの中で SHIROKANE サポート係との窓口を担っていただくユーザです。グループの SHIROKANE 利用に関わる連絡・ディスク容量の超過のお知らせの受け取り、アカウント申請書の授受等を担当していただけますようお願いいたします。まとめ利用者の選定に迷いがありましたら、このテキストからリンクしている「まとめ利用者せんてい試験」をご利用ください。","What is Corresponding User?: This is the user who will be the contact person with the SHIOROKANE support staff in your group. "&amp;"You will be in charge of communications related to the Group's use of SHIROKANE, receiving notices of overage of disk space, and sending and receiving the Account Applications.")</f>
        <v>まとめ利用者とは、グループの中で SHIROKANE サポート係との窓口を担っていただくユーザです。グループの SHIROKANE 利用に関わる連絡・ディスク容量の超過のお知らせの受け取り、アカウント申請書の授受等を担当していただけますようお願いいたします。まとめ利用者の選定に迷いがありましたら、このテキストからリンクしている「まとめ利用者せんてい試験」をご利用ください。</v>
      </c>
      <c r="C73" s="211"/>
      <c r="D73" s="211"/>
      <c r="E73" s="211"/>
      <c r="F73" s="211"/>
      <c r="G73" s="211"/>
      <c r="H73" s="211"/>
      <c r="I73" s="211"/>
      <c r="J73" s="211"/>
      <c r="K73" s="211"/>
      <c r="L73" s="211"/>
    </row>
    <row r="74" spans="2:12" x14ac:dyDescent="0.55000000000000004">
      <c r="J74" s="201" t="s">
        <v>194</v>
      </c>
    </row>
    <row r="75" spans="2:12" ht="22.5" x14ac:dyDescent="0.55000000000000004">
      <c r="C75" s="2" t="str">
        <f>IF(L,"ユーザ名 ",banana!C26&amp;" username ")</f>
        <v xml:space="preserve">ユーザ名 </v>
      </c>
    </row>
    <row r="76" spans="2:12" ht="18.5" thickBot="1" x14ac:dyDescent="0.6">
      <c r="C76" t="str">
        <f>IF(L,"この欄は、申請内容の変更、停止の場合に記入してください。","Fill out the box on the below if you are Change application/Suspend account.")</f>
        <v>この欄は、申請内容の変更、停止の場合に記入してください。</v>
      </c>
    </row>
    <row r="77" spans="2:12" ht="27" thickBot="1" x14ac:dyDescent="0.6">
      <c r="C77" s="213"/>
      <c r="D77" s="213"/>
      <c r="E77" s="213"/>
      <c r="F77" s="213"/>
    </row>
    <row r="78" spans="2:12" x14ac:dyDescent="0.55000000000000004">
      <c r="C78" t="str">
        <f>IF(L,"8 文字までの小文字アルファベット 26 種、数字 10 種、ハイフン、アンダーバー","Up to 8 lowercase alphabetic 26 characters, numbers, hyphens, and underscores")</f>
        <v>8 文字までの小文字アルファベット 26 種、数字 10 種、ハイフン、アンダーバー</v>
      </c>
    </row>
    <row r="80" spans="2:12" ht="22.5" x14ac:dyDescent="0.55000000000000004">
      <c r="C80" s="2" t="str">
        <f>IF(L,"希望ユーザ名","Requested username")</f>
        <v>希望ユーザ名</v>
      </c>
    </row>
    <row r="81" spans="3:8" x14ac:dyDescent="0.55000000000000004">
      <c r="C81" t="str">
        <f>IF(L,"この欄は、はじめての利用の場合に記入してください。","Fill in this column if you are applying for the first time.")</f>
        <v>この欄は、はじめての利用の場合に記入してください。</v>
      </c>
    </row>
    <row r="83" spans="3:8" ht="22.5" x14ac:dyDescent="0.55000000000000004">
      <c r="D83" s="2" t="str">
        <f>IF(L,"第 1 希望","First choice")</f>
        <v>第 1 希望</v>
      </c>
      <c r="H83" s="190" t="str">
        <f>$B$71</f>
        <v>まとめ利用者</v>
      </c>
    </row>
    <row r="84" spans="3:8" ht="18.5" thickBot="1" x14ac:dyDescent="0.6">
      <c r="D84" t="str">
        <f>IF(L,"8 文字までの小文字アルファベット 26 種、数字 10 種、ハイフン、アンダーバー","Up to 8 lowercase alphabetic 26 characters, numbers, hyphens, and underscores")</f>
        <v>8 文字までの小文字アルファベット 26 種、数字 10 種、ハイフン、アンダーバー</v>
      </c>
    </row>
    <row r="85" spans="3:8" ht="27" thickBot="1" x14ac:dyDescent="0.6">
      <c r="D85" s="213"/>
      <c r="E85" s="213"/>
      <c r="F85" s="213"/>
      <c r="G85" s="213"/>
    </row>
    <row r="88" spans="3:8" ht="22.5" x14ac:dyDescent="0.55000000000000004">
      <c r="D88" s="2" t="str">
        <f>IF(L,"第 2 希望","Second choice")</f>
        <v>第 2 希望</v>
      </c>
      <c r="H88" s="190" t="str">
        <f>$B$71</f>
        <v>まとめ利用者</v>
      </c>
    </row>
    <row r="89" spans="3:8" ht="18.5" thickBot="1" x14ac:dyDescent="0.6"/>
    <row r="90" spans="3:8" ht="27" thickBot="1" x14ac:dyDescent="0.6">
      <c r="D90" s="213"/>
      <c r="E90" s="213"/>
      <c r="F90" s="213"/>
      <c r="G90" s="213"/>
    </row>
    <row r="93" spans="3:8" ht="22.5" x14ac:dyDescent="0.55000000000000004">
      <c r="D93" s="2" t="str">
        <f>IF(L,"第 3 希望","Third choice")</f>
        <v>第 3 希望</v>
      </c>
      <c r="H93" s="190" t="str">
        <f>$B$71</f>
        <v>まとめ利用者</v>
      </c>
    </row>
    <row r="94" spans="3:8" ht="18.5" thickBot="1" x14ac:dyDescent="0.6"/>
    <row r="95" spans="3:8" ht="27" thickBot="1" x14ac:dyDescent="0.6">
      <c r="D95" s="213"/>
      <c r="E95" s="213"/>
      <c r="F95" s="213"/>
      <c r="G95" s="213"/>
    </row>
    <row r="98" spans="2:11" ht="22.5" x14ac:dyDescent="0.55000000000000004">
      <c r="C98" s="2" t="str">
        <f>IF(L,"国籍","Nationality")</f>
        <v>国籍</v>
      </c>
      <c r="G98" s="190" t="str">
        <f>$B$71</f>
        <v>まとめ利用者</v>
      </c>
    </row>
    <row r="99" spans="2:11" ht="18.5" thickBot="1" x14ac:dyDescent="0.6"/>
    <row r="100" spans="2:11" ht="27" thickBot="1" x14ac:dyDescent="0.6">
      <c r="B100" s="66" t="s">
        <v>93</v>
      </c>
      <c r="C100" s="213"/>
      <c r="D100" s="213"/>
      <c r="E100" s="213"/>
      <c r="F100" s="213"/>
    </row>
    <row r="103" spans="2:11" ht="22.5" x14ac:dyDescent="0.55000000000000004">
      <c r="C103" s="2" t="str">
        <f>IF(L,"職名","Job Title")</f>
        <v>職名</v>
      </c>
      <c r="K103" s="190" t="str">
        <f>$B$71</f>
        <v>まとめ利用者</v>
      </c>
    </row>
    <row r="104" spans="2:11" ht="18.5" thickBot="1" x14ac:dyDescent="0.6"/>
    <row r="105" spans="2:11" ht="27" thickBot="1" x14ac:dyDescent="0.6">
      <c r="B105" s="66" t="s">
        <v>93</v>
      </c>
      <c r="C105" s="213"/>
      <c r="D105" s="213"/>
      <c r="E105" s="213"/>
      <c r="F105" s="213"/>
      <c r="G105" s="213"/>
      <c r="H105" s="213"/>
      <c r="I105" s="213"/>
      <c r="J105" s="213"/>
    </row>
    <row r="108" spans="2:11" ht="22.5" x14ac:dyDescent="0.55000000000000004">
      <c r="C108" s="2" t="str">
        <f>IF(L,"氏名","Name")</f>
        <v>氏名</v>
      </c>
      <c r="K108" s="190" t="str">
        <f>$B$71</f>
        <v>まとめ利用者</v>
      </c>
    </row>
    <row r="109" spans="2:11" ht="18.5" thickBot="1" x14ac:dyDescent="0.6"/>
    <row r="110" spans="2:11" ht="27" thickBot="1" x14ac:dyDescent="0.6">
      <c r="B110" s="66" t="s">
        <v>93</v>
      </c>
      <c r="C110" s="213"/>
      <c r="D110" s="213"/>
      <c r="E110" s="213"/>
      <c r="F110" s="213"/>
      <c r="G110" s="213"/>
      <c r="H110" s="213"/>
      <c r="I110" s="213"/>
      <c r="J110" s="213"/>
    </row>
    <row r="113" spans="2:11" ht="22.5" x14ac:dyDescent="0.55000000000000004">
      <c r="C113" s="2" t="str">
        <f>IF(L,"ローマ字","Romanized representation with 26 letters of the name")</f>
        <v>ローマ字</v>
      </c>
      <c r="K113" s="190" t="str">
        <f>$B$71</f>
        <v>まとめ利用者</v>
      </c>
    </row>
    <row r="114" spans="2:11" ht="18.5" thickBot="1" x14ac:dyDescent="0.6"/>
    <row r="115" spans="2:11" ht="27" thickBot="1" x14ac:dyDescent="0.6">
      <c r="B115" s="66" t="s">
        <v>93</v>
      </c>
      <c r="C115" s="213"/>
      <c r="D115" s="213"/>
      <c r="E115" s="213"/>
      <c r="F115" s="213"/>
      <c r="G115" s="213"/>
      <c r="H115" s="213"/>
      <c r="I115" s="213"/>
      <c r="J115" s="213"/>
    </row>
    <row r="118" spans="2:11" ht="22.5" x14ac:dyDescent="0.55000000000000004">
      <c r="C118" s="2" t="str">
        <f>IF(L,"メールアドレス","E-mail address")</f>
        <v>メールアドレス</v>
      </c>
      <c r="K118" s="190" t="str">
        <f>$B$71</f>
        <v>まとめ利用者</v>
      </c>
    </row>
    <row r="119" spans="2:11" ht="18.5" thickBot="1" x14ac:dyDescent="0.6"/>
    <row r="120" spans="2:11" ht="27" thickBot="1" x14ac:dyDescent="0.6">
      <c r="B120" s="66" t="s">
        <v>93</v>
      </c>
      <c r="C120" s="222"/>
      <c r="D120" s="222"/>
      <c r="E120" s="222"/>
      <c r="F120" s="222"/>
      <c r="G120" s="222"/>
      <c r="H120" s="222"/>
      <c r="I120" s="222"/>
      <c r="J120" s="222"/>
      <c r="K120" t="str">
        <f>IF(L," ←間違えないで！おねがい！"," ←DO NOT MAKE A MISTAKE!")</f>
        <v xml:space="preserve"> ←間違えないで！おねがい！</v>
      </c>
    </row>
    <row r="123" spans="2:11" ht="22.5" x14ac:dyDescent="0.55000000000000004">
      <c r="C123" s="2" t="str">
        <f>IF(L,"携帯電話","Cellphone")</f>
        <v>携帯電話</v>
      </c>
      <c r="G123" s="190" t="str">
        <f>$B$71</f>
        <v>まとめ利用者</v>
      </c>
    </row>
    <row r="124" spans="2:11" ht="18.5" thickBot="1" x14ac:dyDescent="0.6"/>
    <row r="125" spans="2:11" ht="27" thickBot="1" x14ac:dyDescent="0.6">
      <c r="B125" s="66" t="s">
        <v>93</v>
      </c>
      <c r="C125" s="217"/>
      <c r="D125" s="218"/>
      <c r="E125" s="218"/>
      <c r="F125" s="219"/>
    </row>
    <row r="128" spans="2:11" ht="22.5" x14ac:dyDescent="0.55000000000000004">
      <c r="C128" s="2" t="str">
        <f>IF(L,"所属機関・部署","Affiliation")</f>
        <v>所属機関・部署</v>
      </c>
      <c r="K128" s="190" t="str">
        <f>$B$71</f>
        <v>まとめ利用者</v>
      </c>
    </row>
    <row r="129" spans="2:11" ht="18.5" thickBot="1" x14ac:dyDescent="0.6"/>
    <row r="130" spans="2:11" ht="52.5" customHeight="1" thickBot="1" x14ac:dyDescent="0.6">
      <c r="B130" s="66" t="s">
        <v>93</v>
      </c>
      <c r="C130" s="220"/>
      <c r="D130" s="220"/>
      <c r="E130" s="220"/>
      <c r="F130" s="220"/>
      <c r="G130" s="220"/>
      <c r="H130" s="220"/>
      <c r="I130" s="220"/>
      <c r="J130" s="220"/>
    </row>
    <row r="133" spans="2:11" ht="22.5" x14ac:dyDescent="0.55000000000000004">
      <c r="C133" s="2" t="str">
        <f>IF(L,"所属部署の郵便番号","Affiliation Postal Code")</f>
        <v>所属部署の郵便番号</v>
      </c>
      <c r="G133" s="190" t="str">
        <f>$B$71</f>
        <v>まとめ利用者</v>
      </c>
    </row>
    <row r="134" spans="2:11" ht="18.5" thickBot="1" x14ac:dyDescent="0.6"/>
    <row r="135" spans="2:11" ht="27" thickBot="1" x14ac:dyDescent="0.6">
      <c r="B135" s="66" t="s">
        <v>93</v>
      </c>
      <c r="C135" s="213"/>
      <c r="D135" s="213"/>
      <c r="E135" s="213"/>
      <c r="F135" s="213"/>
      <c r="G135" s="4"/>
      <c r="H135" s="4"/>
      <c r="I135" s="4"/>
      <c r="J135" s="4"/>
    </row>
    <row r="138" spans="2:11" ht="22.5" x14ac:dyDescent="0.55000000000000004">
      <c r="C138" s="2" t="str">
        <f>IF(L,"所属部署の住所","Affiliation Address")</f>
        <v>所属部署の住所</v>
      </c>
      <c r="K138" s="190" t="str">
        <f>$B$71</f>
        <v>まとめ利用者</v>
      </c>
    </row>
    <row r="139" spans="2:11" ht="18.5" thickBot="1" x14ac:dyDescent="0.6"/>
    <row r="140" spans="2:11" ht="52.5" customHeight="1" thickBot="1" x14ac:dyDescent="0.6">
      <c r="B140" s="66" t="s">
        <v>93</v>
      </c>
      <c r="C140" s="220"/>
      <c r="D140" s="220"/>
      <c r="E140" s="220"/>
      <c r="F140" s="220"/>
      <c r="G140" s="220"/>
      <c r="H140" s="220"/>
      <c r="I140" s="220"/>
      <c r="J140" s="220"/>
    </row>
    <row r="143" spans="2:11" ht="22.5" x14ac:dyDescent="0.55000000000000004">
      <c r="C143" s="2" t="str">
        <f>IF(L,"所属部署の電話番号","Affiliation Telephone")</f>
        <v>所属部署の電話番号</v>
      </c>
      <c r="G143" s="190" t="str">
        <f>$B$71</f>
        <v>まとめ利用者</v>
      </c>
    </row>
    <row r="144" spans="2:11" ht="18.5" thickBot="1" x14ac:dyDescent="0.6"/>
    <row r="145" spans="2:8" ht="27" thickBot="1" x14ac:dyDescent="0.6">
      <c r="B145" s="66" t="s">
        <v>93</v>
      </c>
      <c r="C145" s="221"/>
      <c r="D145" s="221"/>
      <c r="E145" s="221"/>
      <c r="F145" s="221"/>
    </row>
    <row r="148" spans="2:8" ht="22.5" x14ac:dyDescent="0.55000000000000004">
      <c r="C148" s="2" t="str">
        <f>IF(L,"東大内線番号","UT tel Number")</f>
        <v>東大内線番号</v>
      </c>
    </row>
    <row r="149" spans="2:8" x14ac:dyDescent="0.55000000000000004">
      <c r="C149" t="str">
        <f>IF(L,"東京大学に所属の場合","Fill in the case of belonging to the University of Tokyo")</f>
        <v>東京大学に所属の場合</v>
      </c>
    </row>
    <row r="150" spans="2:8" ht="18.5" thickBot="1" x14ac:dyDescent="0.6">
      <c r="G150" s="190" t="str">
        <f>$B$71</f>
        <v>まとめ利用者</v>
      </c>
    </row>
    <row r="151" spans="2:8" ht="27" thickBot="1" x14ac:dyDescent="0.6">
      <c r="C151" s="213"/>
      <c r="D151" s="213"/>
    </row>
    <row r="153" spans="2:8" x14ac:dyDescent="0.55000000000000004">
      <c r="B153" s="375" t="str">
        <f>B9</f>
        <v>この様式は、 2026 年 3 月までが利用開始の申請に限り使用できます。 2026 年 4 月以降が利用開始の申請には使用できません。</v>
      </c>
    </row>
    <row r="154" spans="2:8" ht="22.5" x14ac:dyDescent="0.55000000000000004">
      <c r="B154" s="2" t="str">
        <f>banana!C27</f>
        <v>研究責任者</v>
      </c>
    </row>
    <row r="156" spans="2:8" ht="22.5" x14ac:dyDescent="0.55000000000000004">
      <c r="C156" s="2" t="str">
        <f>IF(L,banana!C27&amp;"は"&amp;banana!C26&amp;"と同じですか","Is """&amp;banana!C27&amp;""" the same person as """&amp;banana!C26&amp;"""?")</f>
        <v>研究責任者はまとめ利用者と同じですか</v>
      </c>
    </row>
    <row r="157" spans="2:8" ht="18.5" thickBot="1" x14ac:dyDescent="0.6"/>
    <row r="158" spans="2:8" ht="27" thickBot="1" x14ac:dyDescent="0.6">
      <c r="B158" s="66" t="s">
        <v>93</v>
      </c>
      <c r="C158" s="213"/>
      <c r="D158" s="213"/>
      <c r="E158" s="213"/>
      <c r="F158" s="213"/>
      <c r="H158" t="str">
        <f>IF(EXACT($C$158,banana!$C$22),IF(L,"研究責任者の欄の記入は不要です。","Filling in the column of ""Person responsible for the research"" is unnecessary."),"")</f>
        <v/>
      </c>
    </row>
    <row r="162" spans="3:11" ht="22.5" x14ac:dyDescent="0.55000000000000004">
      <c r="C162" s="2" t="str">
        <f>IF(L,"職名","Job Title")</f>
        <v>職名</v>
      </c>
      <c r="K162" s="190" t="str">
        <f>$B$154</f>
        <v>研究責任者</v>
      </c>
    </row>
    <row r="163" spans="3:11" ht="18.5" thickBot="1" x14ac:dyDescent="0.6">
      <c r="C163" t="str">
        <f>IF(EXACT($C$158,banana!$C$22),IF(L,"記入は不要です","Filling is unnecessary."),"")</f>
        <v/>
      </c>
    </row>
    <row r="164" spans="3:11" ht="27" thickBot="1" x14ac:dyDescent="0.6">
      <c r="C164" s="213"/>
      <c r="D164" s="213"/>
      <c r="E164" s="213"/>
      <c r="F164" s="213"/>
      <c r="G164" s="213"/>
      <c r="H164" s="213"/>
      <c r="I164" s="213"/>
      <c r="J164" s="213"/>
    </row>
    <row r="167" spans="3:11" ht="22.5" x14ac:dyDescent="0.55000000000000004">
      <c r="C167" s="2" t="str">
        <f>IF(L,"氏名","Name")</f>
        <v>氏名</v>
      </c>
      <c r="K167" s="190" t="str">
        <f>$B$154</f>
        <v>研究責任者</v>
      </c>
    </row>
    <row r="168" spans="3:11" ht="18.5" thickBot="1" x14ac:dyDescent="0.6">
      <c r="C168" t="str">
        <f>IF(EXACT($C$158,banana!$C$22),IF(L,"記入は不要です","Filling is unnecessary."),"")</f>
        <v/>
      </c>
    </row>
    <row r="169" spans="3:11" ht="27" thickBot="1" x14ac:dyDescent="0.6">
      <c r="C169" s="213"/>
      <c r="D169" s="213"/>
      <c r="E169" s="213"/>
      <c r="F169" s="213"/>
      <c r="G169" s="213"/>
      <c r="H169" s="213"/>
      <c r="I169" s="213"/>
      <c r="J169" s="213"/>
    </row>
    <row r="172" spans="3:11" ht="22.5" x14ac:dyDescent="0.55000000000000004">
      <c r="C172" s="2" t="str">
        <f>IF(L,"ローマ字","Romanized representation with 26 letters of the name")</f>
        <v>ローマ字</v>
      </c>
      <c r="K172" s="190" t="str">
        <f>$B$154</f>
        <v>研究責任者</v>
      </c>
    </row>
    <row r="173" spans="3:11" ht="18.5" thickBot="1" x14ac:dyDescent="0.6">
      <c r="C173" t="str">
        <f>IF(EXACT($C$158,banana!$C$22),IF(L,"記入は不要です","Filling is unnecessary."),"")</f>
        <v/>
      </c>
    </row>
    <row r="174" spans="3:11" ht="27" thickBot="1" x14ac:dyDescent="0.6">
      <c r="C174" s="213"/>
      <c r="D174" s="213"/>
      <c r="E174" s="213"/>
      <c r="F174" s="213"/>
      <c r="G174" s="213"/>
      <c r="H174" s="213"/>
      <c r="I174" s="213"/>
      <c r="J174" s="213"/>
    </row>
    <row r="177" spans="3:11" ht="22.5" x14ac:dyDescent="0.55000000000000004">
      <c r="C177" s="2" t="str">
        <f>IF(L,"メールアドレス","E-mail address")</f>
        <v>メールアドレス</v>
      </c>
      <c r="K177" s="190" t="str">
        <f>$B$154</f>
        <v>研究責任者</v>
      </c>
    </row>
    <row r="178" spans="3:11" ht="18.5" thickBot="1" x14ac:dyDescent="0.6">
      <c r="C178" t="str">
        <f>IF(EXACT($C$158,banana!$C$22),IF(L,"記入は不要です","Filling is unnecessary."),"")</f>
        <v/>
      </c>
    </row>
    <row r="179" spans="3:11" ht="27" thickBot="1" x14ac:dyDescent="0.6">
      <c r="C179" s="216"/>
      <c r="D179" s="213"/>
      <c r="E179" s="213"/>
      <c r="F179" s="213"/>
      <c r="G179" s="213"/>
      <c r="H179" s="213"/>
      <c r="I179" s="213"/>
      <c r="J179" s="213"/>
      <c r="K179" t="str">
        <f>IF(L," ←間違えないで！おねがい！"," ←DO NOT MAKE A MISTAKE!")</f>
        <v xml:space="preserve"> ←間違えないで！おねがい！</v>
      </c>
    </row>
    <row r="182" spans="3:11" ht="22.5" x14ac:dyDescent="0.55000000000000004">
      <c r="C182" s="2" t="str">
        <f>IF(L,"携帯電話","Cellphone")</f>
        <v>携帯電話</v>
      </c>
      <c r="G182" s="190" t="str">
        <f>$B$154</f>
        <v>研究責任者</v>
      </c>
    </row>
    <row r="183" spans="3:11" ht="18.5" thickBot="1" x14ac:dyDescent="0.6">
      <c r="C183" t="str">
        <f>IF(EXACT($C$158,banana!$C$22),IF(L,"記入は不要です","Filling is unnecessary."),"")</f>
        <v/>
      </c>
    </row>
    <row r="184" spans="3:11" ht="27" thickBot="1" x14ac:dyDescent="0.6">
      <c r="C184" s="217"/>
      <c r="D184" s="218"/>
      <c r="E184" s="218"/>
      <c r="F184" s="219"/>
    </row>
    <row r="187" spans="3:11" ht="22.5" x14ac:dyDescent="0.55000000000000004">
      <c r="C187" s="2" t="str">
        <f>IF(L,"所属機関・部署","Affiliation")</f>
        <v>所属機関・部署</v>
      </c>
      <c r="K187" s="190" t="str">
        <f>$B$154</f>
        <v>研究責任者</v>
      </c>
    </row>
    <row r="188" spans="3:11" ht="18.5" thickBot="1" x14ac:dyDescent="0.6">
      <c r="C188" t="str">
        <f>IF(EXACT($C$158,banana!$C$22),IF(L,"記入は不要です","Filling is unnecessary."),"")</f>
        <v/>
      </c>
    </row>
    <row r="189" spans="3:11" ht="52.5" customHeight="1" thickBot="1" x14ac:dyDescent="0.6">
      <c r="C189" s="220"/>
      <c r="D189" s="220"/>
      <c r="E189" s="220"/>
      <c r="F189" s="220"/>
      <c r="G189" s="220"/>
      <c r="H189" s="220"/>
      <c r="I189" s="220"/>
      <c r="J189" s="220"/>
    </row>
    <row r="192" spans="3:11" ht="22.5" x14ac:dyDescent="0.55000000000000004">
      <c r="C192" s="2" t="str">
        <f>IF(L,"所属部署の郵便番号","Affiliation Postal Code")</f>
        <v>所属部署の郵便番号</v>
      </c>
      <c r="G192" s="190" t="str">
        <f>$B$154</f>
        <v>研究責任者</v>
      </c>
    </row>
    <row r="193" spans="3:11" ht="18.5" thickBot="1" x14ac:dyDescent="0.6">
      <c r="C193" t="str">
        <f>IF(EXACT($C$158,banana!$C$22),IF(L,"記入は不要です","Filling is unnecessary."),"")</f>
        <v/>
      </c>
    </row>
    <row r="194" spans="3:11" ht="27" thickBot="1" x14ac:dyDescent="0.6">
      <c r="C194" s="213"/>
      <c r="D194" s="213"/>
      <c r="E194" s="213"/>
      <c r="F194" s="213"/>
      <c r="G194" s="4"/>
      <c r="H194" s="4"/>
      <c r="I194" s="4"/>
      <c r="J194" s="4"/>
    </row>
    <row r="197" spans="3:11" ht="22.5" x14ac:dyDescent="0.55000000000000004">
      <c r="C197" s="2" t="str">
        <f>IF(L,"所属部署の住所","Affiliation Address")</f>
        <v>所属部署の住所</v>
      </c>
      <c r="K197" s="190" t="str">
        <f>$B$154</f>
        <v>研究責任者</v>
      </c>
    </row>
    <row r="198" spans="3:11" ht="18.5" thickBot="1" x14ac:dyDescent="0.6">
      <c r="C198" t="str">
        <f>IF(EXACT($C$158,banana!$C$22),IF(L,"記入は不要です","Filling is unnecessary."),"")</f>
        <v/>
      </c>
    </row>
    <row r="199" spans="3:11" ht="52.5" customHeight="1" thickBot="1" x14ac:dyDescent="0.6">
      <c r="C199" s="220"/>
      <c r="D199" s="220"/>
      <c r="E199" s="220"/>
      <c r="F199" s="220"/>
      <c r="G199" s="220"/>
      <c r="H199" s="220"/>
      <c r="I199" s="220"/>
      <c r="J199" s="220"/>
    </row>
    <row r="202" spans="3:11" ht="22.5" x14ac:dyDescent="0.55000000000000004">
      <c r="C202" s="2" t="str">
        <f>IF(L,"所属部署の電話番号","Affiliation Telephone")</f>
        <v>所属部署の電話番号</v>
      </c>
      <c r="G202" s="190" t="str">
        <f>$B$154</f>
        <v>研究責任者</v>
      </c>
    </row>
    <row r="203" spans="3:11" ht="18.5" thickBot="1" x14ac:dyDescent="0.6">
      <c r="C203" t="str">
        <f>IF(EXACT($C$158,banana!$C$22),IF(L,"記入は不要です","Filling is unnecessary."),"")</f>
        <v/>
      </c>
    </row>
    <row r="204" spans="3:11" ht="27" thickBot="1" x14ac:dyDescent="0.6">
      <c r="C204" s="221"/>
      <c r="D204" s="221"/>
      <c r="E204" s="221"/>
      <c r="F204" s="221"/>
    </row>
    <row r="207" spans="3:11" ht="22.5" x14ac:dyDescent="0.55000000000000004">
      <c r="C207" s="2" t="str">
        <f>IF(L,"東大内線番号","UT tel Number")</f>
        <v>東大内線番号</v>
      </c>
    </row>
    <row r="208" spans="3:11" x14ac:dyDescent="0.55000000000000004">
      <c r="C208" t="str">
        <f>IF(EXACT($C$158,banana!$C$22),"",IF(L,"東京大学に所属の場合","Fill in the case of belonging to the University of Tokyo"))</f>
        <v>東京大学に所属の場合</v>
      </c>
    </row>
    <row r="209" spans="1:8" ht="18.5" thickBot="1" x14ac:dyDescent="0.6">
      <c r="C209" t="str">
        <f>IF(EXACT($C$158,banana!$C$22),IF(L,"記入は不要です","Filling is unnecessary."),"")</f>
        <v/>
      </c>
      <c r="G209" s="190" t="str">
        <f>$B$154</f>
        <v>研究責任者</v>
      </c>
    </row>
    <row r="210" spans="1:8" ht="27" thickBot="1" x14ac:dyDescent="0.6">
      <c r="C210" s="213"/>
      <c r="D210" s="213"/>
    </row>
    <row r="212" spans="1:8" x14ac:dyDescent="0.55000000000000004">
      <c r="B212" s="195" t="str">
        <f ca="1">banana!J34</f>
        <v/>
      </c>
    </row>
    <row r="213" spans="1:8" ht="22.5" x14ac:dyDescent="0.55000000000000004">
      <c r="A213" s="212" t="str">
        <f>IF(L,"続けて入力シート 2 を記入してください","Please enter Input sheet 2 in succession.")</f>
        <v>続けて入力シート 2 を記入してください</v>
      </c>
      <c r="B213" s="212"/>
      <c r="C213" s="212"/>
      <c r="D213" s="212"/>
      <c r="E213" s="212"/>
      <c r="F213" s="212"/>
      <c r="G213" s="212"/>
      <c r="H213" s="212"/>
    </row>
  </sheetData>
  <sheetProtection sheet="1" objects="1" scenarios="1"/>
  <mergeCells count="47">
    <mergeCell ref="B7:C7"/>
    <mergeCell ref="B12:E12"/>
    <mergeCell ref="B19:E19"/>
    <mergeCell ref="B25:E25"/>
    <mergeCell ref="B38:C38"/>
    <mergeCell ref="C77:F77"/>
    <mergeCell ref="C100:F100"/>
    <mergeCell ref="C110:J110"/>
    <mergeCell ref="B33:C33"/>
    <mergeCell ref="C204:F204"/>
    <mergeCell ref="D90:G90"/>
    <mergeCell ref="D95:G95"/>
    <mergeCell ref="C130:J130"/>
    <mergeCell ref="C140:J140"/>
    <mergeCell ref="C135:F135"/>
    <mergeCell ref="C145:F145"/>
    <mergeCell ref="C151:D151"/>
    <mergeCell ref="C115:J115"/>
    <mergeCell ref="C105:J105"/>
    <mergeCell ref="C120:J120"/>
    <mergeCell ref="C125:F125"/>
    <mergeCell ref="D85:G85"/>
    <mergeCell ref="C210:D210"/>
    <mergeCell ref="C164:J164"/>
    <mergeCell ref="C169:J169"/>
    <mergeCell ref="C174:J174"/>
    <mergeCell ref="C179:J179"/>
    <mergeCell ref="C184:F184"/>
    <mergeCell ref="C189:J189"/>
    <mergeCell ref="C194:F194"/>
    <mergeCell ref="C199:J199"/>
    <mergeCell ref="B73:L73"/>
    <mergeCell ref="A1:B1"/>
    <mergeCell ref="A213:H213"/>
    <mergeCell ref="B16:J16"/>
    <mergeCell ref="C54:L54"/>
    <mergeCell ref="E1:F1"/>
    <mergeCell ref="C1:D1"/>
    <mergeCell ref="G1:H1"/>
    <mergeCell ref="I1:J1"/>
    <mergeCell ref="K1:L1"/>
    <mergeCell ref="C158:F158"/>
    <mergeCell ref="C45:J45"/>
    <mergeCell ref="C50:J50"/>
    <mergeCell ref="D58:G58"/>
    <mergeCell ref="D63:G63"/>
    <mergeCell ref="D68:G68"/>
  </mergeCells>
  <phoneticPr fontId="2"/>
  <dataValidations count="3">
    <dataValidation type="textLength" allowBlank="1" showInputMessage="1" showErrorMessage="1" prompt="less than 8 character" sqref="C77:F77">
      <formula1>1</formula1>
      <formula2>8</formula2>
    </dataValidation>
    <dataValidation type="textLength" allowBlank="1" showInputMessage="1" showErrorMessage="1" prompt="less than 8 characters" sqref="D58:G58 D63:G63 D68:G68 D85:G85 D90:G90 D95:G95">
      <formula1>1</formula1>
      <formula2>8</formula2>
    </dataValidation>
    <dataValidation allowBlank="1" showInputMessage="1" showErrorMessage="1" promptTitle="Please enter the date in format" prompt="YYYY/M/D" sqref="B12:E12"/>
  </dataValidations>
  <hyperlinks>
    <hyperlink ref="A213" location="'Input sheet 2'!A1" display="'Input sheet 2'!A1"/>
    <hyperlink ref="E1" location="'Input sheet 2'!A1" display="Input Sheet 2"/>
    <hyperlink ref="G1" location="'Input sheet 3'!A1" display="Input Sheet 3"/>
    <hyperlink ref="I1" location="'Input sheet 4'!A1" display="Input Sheet 4"/>
    <hyperlink ref="K1" location="'Application sheet'!A1" display="Application Sheet"/>
    <hyperlink ref="A1" location="Notes!A1" display="Notes"/>
    <hyperlink ref="B73:L73" r:id="rId1" display="https://gc.hgc.jp/license2/"/>
    <hyperlink ref="J74" r:id="rId2"/>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7">
        <x14:dataValidation type="list" allowBlank="1" showInputMessage="1" showErrorMessage="1" promptTitle="This form Language" prompt="Japanese or English">
          <x14:formula1>
            <xm:f>banana!$A$5:$A$6</xm:f>
          </x14:formula1>
          <xm:sqref>B7</xm:sqref>
        </x14:dataValidation>
        <x14:dataValidation type="list" allowBlank="1" showInputMessage="1" showErrorMessage="1">
          <x14:formula1>
            <xm:f>banana!$C$11:$C$12</xm:f>
          </x14:formula1>
          <xm:sqref>B25</xm:sqref>
        </x14:dataValidation>
        <x14:dataValidation type="list" allowBlank="1" showInputMessage="1" showErrorMessage="1">
          <x14:formula1>
            <xm:f>banana!$C$8:$C$9</xm:f>
          </x14:formula1>
          <xm:sqref>B19</xm:sqref>
        </x14:dataValidation>
        <x14:dataValidation type="list" allowBlank="1" showInputMessage="1" showErrorMessage="1">
          <x14:formula1>
            <xm:f>banana!$C$14:$C$16</xm:f>
          </x14:formula1>
          <xm:sqref>B33:C33</xm:sqref>
        </x14:dataValidation>
        <x14:dataValidation type="list" allowBlank="1" showInputMessage="1" showErrorMessage="1">
          <x14:formula1>
            <xm:f>banana!$C$18:$C$20</xm:f>
          </x14:formula1>
          <xm:sqref>B38:C38</xm:sqref>
        </x14:dataValidation>
        <x14:dataValidation type="list" allowBlank="1" showInputMessage="1" showErrorMessage="1">
          <x14:formula1>
            <xm:f>banana!$C$22:$C$23</xm:f>
          </x14:formula1>
          <xm:sqref>C158</xm:sqref>
        </x14:dataValidation>
        <x14:dataValidation type="custom" errorStyle="warning" showInputMessage="1" showErrorMessage="1" errorTitle="文字数超過" error="200文字以内程度で入力して下さい_x000a_less than 400 characters" prompt="200文字以内程度で入力して下さい_x000a_less than 400 characters">
          <x14:formula1>
            <xm:f>LENB(C50)&lt;=banana!A205</xm:f>
          </x14:formula1>
          <xm:sqref>C50:J50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76"/>
  <sheetViews>
    <sheetView workbookViewId="0">
      <pane ySplit="1" topLeftCell="A2" activePane="bottomLeft" state="frozen"/>
      <selection activeCell="L8" sqref="L8"/>
      <selection pane="bottomLeft" activeCell="C10" sqref="C10:J10"/>
    </sheetView>
  </sheetViews>
  <sheetFormatPr defaultRowHeight="18" x14ac:dyDescent="0.55000000000000004"/>
  <cols>
    <col min="2" max="3" width="8.58203125" customWidth="1"/>
  </cols>
  <sheetData>
    <row r="1" spans="1:12" x14ac:dyDescent="0.55000000000000004">
      <c r="A1" s="206" t="s">
        <v>23</v>
      </c>
      <c r="B1" s="206"/>
      <c r="C1" s="206" t="s">
        <v>18</v>
      </c>
      <c r="D1" s="206"/>
      <c r="E1" s="210" t="s">
        <v>19</v>
      </c>
      <c r="F1" s="210"/>
      <c r="G1" s="206" t="s">
        <v>20</v>
      </c>
      <c r="H1" s="206"/>
      <c r="I1" s="206" t="s">
        <v>21</v>
      </c>
      <c r="J1" s="206"/>
      <c r="K1" s="206" t="s">
        <v>22</v>
      </c>
      <c r="L1" s="206"/>
    </row>
    <row r="2" spans="1:12" x14ac:dyDescent="0.55000000000000004">
      <c r="B2" t="str">
        <f>banana!C1</f>
        <v>東京大学医科学研究所ヒトゲノム解析センター計算機システム</v>
      </c>
    </row>
    <row r="3" spans="1:12" ht="22.5" x14ac:dyDescent="0.55000000000000004">
      <c r="B3" s="2" t="str">
        <f>IF(L,"入力シート (2/4) SHIROKANE "&amp;banana!$G$18&amp;"利用申請書","Input sheet (2/4) for Application for SHIROKANE "&amp;banana!$G$18&amp;" Use")</f>
        <v>入力シート (2/4) SHIROKANE 利用申請書</v>
      </c>
    </row>
    <row r="4" spans="1:12" x14ac:dyDescent="0.55000000000000004">
      <c r="B4" t="str">
        <f>IF(L," 無料コースをご利用の場合は、経理責任者欄/請求書情報欄の記入は不要です。 "," If you use the Free course, don't need to fill out "&amp;banana!C28&amp;"/Billing information. ")</f>
        <v xml:space="preserve"> 無料コースをご利用の場合は、経理責任者欄/請求書情報欄の記入は不要です。 </v>
      </c>
    </row>
    <row r="5" spans="1:12" x14ac:dyDescent="0.55000000000000004">
      <c r="B5" s="194" t="str">
        <f ca="1">banana!J34</f>
        <v/>
      </c>
    </row>
    <row r="6" spans="1:12" ht="22.5" x14ac:dyDescent="0.55000000000000004">
      <c r="B6" s="2" t="str">
        <f>banana!C28</f>
        <v>経理責任者</v>
      </c>
    </row>
    <row r="7" spans="1:12" x14ac:dyDescent="0.55000000000000004">
      <c r="B7" s="375" t="str">
        <f>'Input sheet 1'!B9</f>
        <v>この様式は、 2026 年 3 月までが利用開始の申請に限り使用できます。 2026 年 4 月以降が利用開始の申請には使用できません。</v>
      </c>
    </row>
    <row r="8" spans="1:12" ht="22.5" x14ac:dyDescent="0.55000000000000004">
      <c r="C8" s="2" t="str">
        <f>IF(L,"職名","Job Title")</f>
        <v>職名</v>
      </c>
      <c r="K8" s="190" t="str">
        <f>$B$6</f>
        <v>経理責任者</v>
      </c>
    </row>
    <row r="9" spans="1:12" ht="18.5" thickBot="1" x14ac:dyDescent="0.6"/>
    <row r="10" spans="1:12" ht="27" thickBot="1" x14ac:dyDescent="0.6">
      <c r="C10" s="213"/>
      <c r="D10" s="213"/>
      <c r="E10" s="213"/>
      <c r="F10" s="213"/>
      <c r="G10" s="213"/>
      <c r="H10" s="213"/>
      <c r="I10" s="213"/>
      <c r="J10" s="213"/>
    </row>
    <row r="13" spans="1:12" ht="22.5" x14ac:dyDescent="0.55000000000000004">
      <c r="C13" s="2" t="str">
        <f>IF(L,"氏名","Name")</f>
        <v>氏名</v>
      </c>
      <c r="K13" s="190" t="str">
        <f>$B$6</f>
        <v>経理責任者</v>
      </c>
    </row>
    <row r="14" spans="1:12" ht="18.5" thickBot="1" x14ac:dyDescent="0.6"/>
    <row r="15" spans="1:12" ht="27" thickBot="1" x14ac:dyDescent="0.6">
      <c r="C15" s="213"/>
      <c r="D15" s="213"/>
      <c r="E15" s="213"/>
      <c r="F15" s="213"/>
      <c r="G15" s="213"/>
      <c r="H15" s="213"/>
      <c r="I15" s="213"/>
      <c r="J15" s="213"/>
    </row>
    <row r="18" spans="3:11" ht="22.5" x14ac:dyDescent="0.55000000000000004">
      <c r="C18" s="2" t="str">
        <f>IF(L,"フリガナ","Kana")</f>
        <v>フリガナ</v>
      </c>
      <c r="K18" s="190" t="str">
        <f>$B$6</f>
        <v>経理責任者</v>
      </c>
    </row>
    <row r="19" spans="3:11" ht="18.5" thickBot="1" x14ac:dyDescent="0.6"/>
    <row r="20" spans="3:11" ht="27" thickBot="1" x14ac:dyDescent="0.6">
      <c r="C20" s="213"/>
      <c r="D20" s="213"/>
      <c r="E20" s="213"/>
      <c r="F20" s="213"/>
      <c r="G20" s="213"/>
      <c r="H20" s="213"/>
      <c r="I20" s="213"/>
      <c r="J20" s="213"/>
    </row>
    <row r="23" spans="3:11" ht="22.5" x14ac:dyDescent="0.55000000000000004">
      <c r="C23" s="2" t="str">
        <f>IF(L,"所属機関・部署","Affiliation")</f>
        <v>所属機関・部署</v>
      </c>
      <c r="K23" s="190" t="str">
        <f>$B$6</f>
        <v>経理責任者</v>
      </c>
    </row>
    <row r="24" spans="3:11" ht="18.5" thickBot="1" x14ac:dyDescent="0.6"/>
    <row r="25" spans="3:11" ht="52.5" customHeight="1" thickBot="1" x14ac:dyDescent="0.6">
      <c r="C25" s="220"/>
      <c r="D25" s="220"/>
      <c r="E25" s="220"/>
      <c r="F25" s="220"/>
      <c r="G25" s="220"/>
      <c r="H25" s="220"/>
      <c r="I25" s="220"/>
      <c r="J25" s="220"/>
    </row>
    <row r="28" spans="3:11" ht="22.5" x14ac:dyDescent="0.55000000000000004">
      <c r="C28" s="2" t="str">
        <f>IF(L,"所属部署の郵便番号","Affiliation Postal Code")</f>
        <v>所属部署の郵便番号</v>
      </c>
      <c r="G28" s="190" t="str">
        <f>$B$6</f>
        <v>経理責任者</v>
      </c>
    </row>
    <row r="29" spans="3:11" ht="18.5" thickBot="1" x14ac:dyDescent="0.6"/>
    <row r="30" spans="3:11" ht="27" thickBot="1" x14ac:dyDescent="0.6">
      <c r="C30" s="213"/>
      <c r="D30" s="213"/>
      <c r="E30" s="213"/>
      <c r="F30" s="213"/>
      <c r="G30" s="4"/>
      <c r="H30" s="4"/>
      <c r="I30" s="4"/>
      <c r="J30" s="4"/>
    </row>
    <row r="33" spans="2:11" ht="22.5" x14ac:dyDescent="0.55000000000000004">
      <c r="C33" s="2" t="str">
        <f>IF(L,"所属部署の住所","Affiliation Address")</f>
        <v>所属部署の住所</v>
      </c>
      <c r="K33" s="190" t="str">
        <f>$B$6</f>
        <v>経理責任者</v>
      </c>
    </row>
    <row r="34" spans="2:11" ht="18.5" thickBot="1" x14ac:dyDescent="0.6"/>
    <row r="35" spans="2:11" ht="52.5" customHeight="1" thickBot="1" x14ac:dyDescent="0.6">
      <c r="C35" s="220"/>
      <c r="D35" s="220"/>
      <c r="E35" s="220"/>
      <c r="F35" s="220"/>
      <c r="G35" s="220"/>
      <c r="H35" s="220"/>
      <c r="I35" s="220"/>
      <c r="J35" s="220"/>
    </row>
    <row r="38" spans="2:11" ht="22.5" x14ac:dyDescent="0.55000000000000004">
      <c r="C38" s="2" t="str">
        <f>IF(L,"所属部署の電話番号","Affiliation Telephone")</f>
        <v>所属部署の電話番号</v>
      </c>
      <c r="G38" s="190" t="str">
        <f>$B$6</f>
        <v>経理責任者</v>
      </c>
    </row>
    <row r="39" spans="2:11" ht="18.5" thickBot="1" x14ac:dyDescent="0.6"/>
    <row r="40" spans="2:11" ht="27" thickBot="1" x14ac:dyDescent="0.6">
      <c r="C40" s="221"/>
      <c r="D40" s="221"/>
      <c r="E40" s="221"/>
      <c r="F40" s="221"/>
    </row>
    <row r="43" spans="2:11" ht="22.5" x14ac:dyDescent="0.55000000000000004">
      <c r="C43" s="2" t="str">
        <f>IF(L,"東大内線番号","UT tel Number")</f>
        <v>東大内線番号</v>
      </c>
    </row>
    <row r="44" spans="2:11" x14ac:dyDescent="0.55000000000000004">
      <c r="C44" t="str">
        <f>IF(L,"東京大学に所属の場合","Fill in the case of belonging to the University of Tokyo")</f>
        <v>東京大学に所属の場合</v>
      </c>
    </row>
    <row r="45" spans="2:11" ht="18.5" thickBot="1" x14ac:dyDescent="0.6">
      <c r="G45" s="190" t="str">
        <f>$B$6</f>
        <v>経理責任者</v>
      </c>
    </row>
    <row r="46" spans="2:11" ht="27" thickBot="1" x14ac:dyDescent="0.6">
      <c r="C46" s="213"/>
      <c r="D46" s="213"/>
    </row>
    <row r="48" spans="2:11" x14ac:dyDescent="0.55000000000000004">
      <c r="B48" s="375" t="str">
        <f>'Input sheet 1'!B9</f>
        <v>この様式は、 2026 年 3 月までが利用開始の申請に限り使用できます。 2026 年 4 月以降が利用開始の申請には使用できません。</v>
      </c>
    </row>
    <row r="49" spans="2:12" ht="22.5" x14ac:dyDescent="0.55000000000000004">
      <c r="B49" s="2" t="str">
        <f>IF(L,"請求情報","Billing information")</f>
        <v>請求情報</v>
      </c>
    </row>
    <row r="51" spans="2:12" ht="22.5" x14ac:dyDescent="0.55000000000000004">
      <c r="C51" s="2" t="str">
        <f>IF(L,"請求宛名","Billed to (name):")</f>
        <v>請求宛名</v>
      </c>
    </row>
    <row r="52" spans="2:12" ht="18.5" thickBot="1" x14ac:dyDescent="0.6"/>
    <row r="53" spans="2:12" ht="52.5" customHeight="1" thickBot="1" x14ac:dyDescent="0.6">
      <c r="C53" s="220"/>
      <c r="D53" s="220"/>
      <c r="E53" s="220"/>
      <c r="F53" s="220"/>
      <c r="G53" s="220"/>
      <c r="H53" s="220"/>
      <c r="I53" s="220"/>
      <c r="J53" s="220"/>
    </row>
    <row r="54" spans="2:12" ht="37.5" customHeight="1" x14ac:dyDescent="0.55000000000000004">
      <c r="C54" s="205" t="str">
        <f>IFERROR(IF(L,IF(FIND("東京大学",C53),banana!A202),""),"")</f>
        <v/>
      </c>
      <c r="D54" s="205"/>
      <c r="E54" s="205"/>
      <c r="F54" s="205"/>
      <c r="G54" s="205"/>
      <c r="H54" s="205"/>
      <c r="I54" s="205"/>
      <c r="J54" s="205"/>
      <c r="K54" s="205"/>
      <c r="L54" s="205"/>
    </row>
    <row r="56" spans="2:12" ht="22.5" x14ac:dyDescent="0.55000000000000004">
      <c r="C56" s="2" t="str">
        <f>IF(L,"書類の送付先","Sent to:")</f>
        <v>書類の送付先</v>
      </c>
    </row>
    <row r="57" spans="2:12" ht="18.5" thickBot="1" x14ac:dyDescent="0.6"/>
    <row r="58" spans="2:12" ht="27" thickBot="1" x14ac:dyDescent="0.6">
      <c r="C58" s="213"/>
      <c r="D58" s="213"/>
      <c r="E58" s="213"/>
      <c r="F58" s="213"/>
    </row>
    <row r="60" spans="2:12" ht="18.5" thickBot="1" x14ac:dyDescent="0.6">
      <c r="C60" t="str">
        <f>IF(EXACT($C$58,banana!$C$29),IF(L,"請求書の送り先の情報を下に記入してください。","Please enter the information on the destination of the invoice below."),IF(COUNTIF(banana!$C$25:$C$28,$C$58),IF(L,"記入は不要です","Filling is unnecessary."),""))</f>
        <v/>
      </c>
    </row>
    <row r="61" spans="2:12" ht="52.5" customHeight="1" thickBot="1" x14ac:dyDescent="0.6">
      <c r="C61" s="220"/>
      <c r="D61" s="220"/>
      <c r="E61" s="220"/>
      <c r="F61" s="220"/>
      <c r="G61" s="220"/>
      <c r="H61" s="220"/>
      <c r="I61" s="220"/>
      <c r="J61" s="220"/>
    </row>
    <row r="64" spans="2:12" ht="22.5" x14ac:dyDescent="0.55000000000000004">
      <c r="C64" s="2" t="str">
        <f>IF(L,"備考","Notes")</f>
        <v>備考</v>
      </c>
    </row>
    <row r="65" spans="1:12" ht="79.5" customHeight="1" thickBot="1" x14ac:dyDescent="0.6">
      <c r="C65" s="205" t="str">
        <f>IF(banana!D16,IF(L,"見積書の日付、表示内容など体裁へのご指示がある場合は、こちらにお書きください。","If you have any instructions for the style of the quote, please write them here."),IF(L,"請求時期の指定がある場合は、備考にご記入ください。請求書の日付は請求書を発行した日になります。 1 月から 3 月と 4 月から 12 月の 2 回の請求等をお求めのときは 12 か月分の利用申請をせずにご都合に合う 3 か月分等の利用申請を都度にしてください。請求先が"&amp;banana!A202,"Please fill it in here If you wish to request a Billing process."))</f>
        <v>請求時期の指定がある場合は、備考にご記入ください。請求書の日付は請求書を発行した日になります。 1 月から 3 月と 4 月から 12 月の 2 回の請求等をお求めのときは 12 か月分の利用申請をせずにご都合に合う 3 か月分等の利用申請を都度にしてください。請求先が東大の場合には、支払い財源 (例: 運営費交付金 / 基盤研究(B) /AMED) および部署コード・プロジェクトコードを備考に記入してください。</v>
      </c>
      <c r="D65" s="205"/>
      <c r="E65" s="205"/>
      <c r="F65" s="205"/>
      <c r="G65" s="205"/>
      <c r="H65" s="205"/>
      <c r="I65" s="205"/>
      <c r="J65" s="205"/>
      <c r="K65" s="205"/>
      <c r="L65" s="205"/>
    </row>
    <row r="66" spans="1:12" ht="97.5" customHeight="1" thickBot="1" x14ac:dyDescent="0.6">
      <c r="C66" s="226"/>
      <c r="D66" s="227"/>
      <c r="E66" s="227"/>
      <c r="F66" s="227"/>
      <c r="G66" s="227"/>
      <c r="H66" s="227"/>
      <c r="I66" s="227"/>
      <c r="J66" s="227"/>
    </row>
    <row r="69" spans="1:12" ht="22.5" x14ac:dyDescent="0.55000000000000004">
      <c r="C69" s="2" t="str">
        <f>IF(L,"支払形態","Form of payment")</f>
        <v>支払形態</v>
      </c>
    </row>
    <row r="70" spans="1:12" ht="83.25" customHeight="1" thickBot="1" x14ac:dyDescent="0.6">
      <c r="C70" s="205" t="str">
        <f>IF(L,"""一括払い"" または""月々後払い""をお選びください。これ以外をご希望の場合は、備考欄にご記入ください。ご選択、ご指定のない場合は""一括払い""になります。また、請求時期の指定を備考欄にご記入ください。請求時期ご指定のない場合、請求書は ""一括払い"" では利用の最終月の前月に、""月々後払い"" では利用月の翌月に発送します。","Billing process of ""Single payment"" case starts about one month earlier than the final use month. If you have the request of billing period, please fill in the remarks. Billing process of ""Monthly payment"" case starts at following month of the use month.")</f>
        <v>"一括払い" または"月々後払い"をお選びください。これ以外をご希望の場合は、備考欄にご記入ください。ご選択、ご指定のない場合は"一括払い"になります。また、請求時期の指定を備考欄にご記入ください。請求時期ご指定のない場合、請求書は "一括払い" では利用の最終月の前月に、"月々後払い" では利用月の翌月に発送します。</v>
      </c>
      <c r="D70" s="205"/>
      <c r="E70" s="205"/>
      <c r="F70" s="205"/>
      <c r="G70" s="205"/>
      <c r="H70" s="205"/>
      <c r="I70" s="205"/>
      <c r="J70" s="205"/>
      <c r="K70" s="205"/>
      <c r="L70" s="205"/>
    </row>
    <row r="71" spans="1:12" ht="27" thickBot="1" x14ac:dyDescent="0.6">
      <c r="C71" s="213"/>
      <c r="D71" s="213"/>
      <c r="E71" s="213"/>
      <c r="F71" s="213"/>
    </row>
    <row r="73" spans="1:12" x14ac:dyDescent="0.55000000000000004">
      <c r="C73" t="str">
        <f>Notes!B23&amp;" "&amp;Notes!C25</f>
        <v>受け取った請求書に関する問い合わせは SHIROKANE サポート係に、メールでご連絡ください。</v>
      </c>
    </row>
    <row r="75" spans="1:12" x14ac:dyDescent="0.55000000000000004">
      <c r="B75" s="195" t="str">
        <f ca="1">banana!J34</f>
        <v/>
      </c>
    </row>
    <row r="76" spans="1:12" ht="22.5" x14ac:dyDescent="0.55000000000000004">
      <c r="A76" s="212" t="str">
        <f>IF(L,"続けて入力シート 3 を記入してください","Please enter Input sheet 3 in succession.")</f>
        <v>続けて入力シート 3 を記入してください</v>
      </c>
      <c r="B76" s="212"/>
      <c r="C76" s="212"/>
      <c r="D76" s="212"/>
      <c r="E76" s="212"/>
      <c r="F76" s="212"/>
      <c r="G76" s="212"/>
      <c r="H76" s="212"/>
    </row>
  </sheetData>
  <sheetProtection sheet="1" objects="1" scenarios="1"/>
  <mergeCells count="23">
    <mergeCell ref="K1:L1"/>
    <mergeCell ref="C25:J25"/>
    <mergeCell ref="C65:L65"/>
    <mergeCell ref="C30:F30"/>
    <mergeCell ref="C35:J35"/>
    <mergeCell ref="C10:J10"/>
    <mergeCell ref="C15:J15"/>
    <mergeCell ref="C70:L70"/>
    <mergeCell ref="C54:L54"/>
    <mergeCell ref="A1:B1"/>
    <mergeCell ref="A76:H76"/>
    <mergeCell ref="C58:F58"/>
    <mergeCell ref="C71:F71"/>
    <mergeCell ref="C1:D1"/>
    <mergeCell ref="E1:F1"/>
    <mergeCell ref="G1:H1"/>
    <mergeCell ref="I1:J1"/>
    <mergeCell ref="C40:F40"/>
    <mergeCell ref="C46:D46"/>
    <mergeCell ref="C53:J53"/>
    <mergeCell ref="C61:J61"/>
    <mergeCell ref="C66:J66"/>
    <mergeCell ref="C20:J20"/>
  </mergeCells>
  <phoneticPr fontId="2"/>
  <hyperlinks>
    <hyperlink ref="A76" location="'Input sheet 3'!A1" display="'Input sheet 3'!A1"/>
    <hyperlink ref="G1" location="'Input sheet 3'!A1" display="Input Sheet 3"/>
    <hyperlink ref="I1" location="'Input sheet 4'!A1" display="Input Sheet 4"/>
    <hyperlink ref="K1" location="'Application sheet'!A1" display="Application Sheet"/>
    <hyperlink ref="A1" location="Notes!A1" display="Notes"/>
    <hyperlink ref="C1" location="'Input sheet 1'!A1" display="Input Sheet 1"/>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banana!$C$26:$C$29</xm:f>
          </x14:formula1>
          <xm:sqref>C58:F58</xm:sqref>
        </x14:dataValidation>
        <x14:dataValidation type="list" allowBlank="1" showInputMessage="1" showErrorMessage="1">
          <x14:formula1>
            <xm:f>banana!$C$31:$C$32</xm:f>
          </x14:formula1>
          <xm:sqref>C71:F71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144"/>
  <sheetViews>
    <sheetView workbookViewId="0">
      <pane ySplit="1" topLeftCell="A2" activePane="bottomLeft" state="frozen"/>
      <selection activeCell="L8" sqref="L8"/>
      <selection pane="bottomLeft" activeCell="B8" sqref="B8:C8"/>
    </sheetView>
  </sheetViews>
  <sheetFormatPr defaultRowHeight="18" x14ac:dyDescent="0.55000000000000004"/>
  <cols>
    <col min="2" max="3" width="8.58203125" customWidth="1"/>
    <col min="5" max="5" width="8.58203125" customWidth="1"/>
    <col min="7" max="9" width="8.58203125" customWidth="1"/>
    <col min="17" max="17" width="9" customWidth="1"/>
  </cols>
  <sheetData>
    <row r="1" spans="1:15" x14ac:dyDescent="0.55000000000000004">
      <c r="A1" s="206" t="s">
        <v>23</v>
      </c>
      <c r="B1" s="206"/>
      <c r="C1" s="206" t="s">
        <v>18</v>
      </c>
      <c r="D1" s="206"/>
      <c r="E1" s="206" t="s">
        <v>19</v>
      </c>
      <c r="F1" s="206"/>
      <c r="G1" s="210" t="s">
        <v>20</v>
      </c>
      <c r="H1" s="210"/>
      <c r="I1" s="206" t="s">
        <v>21</v>
      </c>
      <c r="J1" s="206"/>
      <c r="K1" s="206" t="s">
        <v>22</v>
      </c>
      <c r="L1" s="206"/>
    </row>
    <row r="2" spans="1:15" x14ac:dyDescent="0.55000000000000004">
      <c r="B2" t="str">
        <f>banana!C1</f>
        <v>東京大学医科学研究所ヒトゲノム解析センター計算機システム</v>
      </c>
    </row>
    <row r="3" spans="1:15" ht="22.5" x14ac:dyDescent="0.55000000000000004">
      <c r="B3" s="2" t="str">
        <f>IF(L,"入力シート (3/4) SHIROKANE "&amp;banana!$G$18&amp;"利用申請書","Input sheet (3/4) for Application for SHIROKANE "&amp;banana!$G$18&amp;" Use")</f>
        <v>入力シート (3/4) SHIROKANE 利用申請書</v>
      </c>
      <c r="C3" s="2"/>
    </row>
    <row r="4" spans="1:15" x14ac:dyDescent="0.55000000000000004">
      <c r="B4" s="195" t="str">
        <f ca="1">banana!J34</f>
        <v/>
      </c>
    </row>
    <row r="5" spans="1:15" x14ac:dyDescent="0.55000000000000004">
      <c r="B5" s="375" t="str">
        <f>'Input sheet 1'!B9</f>
        <v>この様式は、 2026 年 3 月までが利用開始の申請に限り使用できます。 2026 年 4 月以降が利用開始の申請には使用できません。</v>
      </c>
    </row>
    <row r="6" spans="1:15" ht="22.5" x14ac:dyDescent="0.55000000000000004">
      <c r="B6" s="2" t="str">
        <f>IF(L,"開始希望月（"&amp;B8&amp;"～）","Starting month ("&amp;B8&amp;"-)")</f>
        <v>開始希望月（～）</v>
      </c>
      <c r="E6" s="2" t="str">
        <f>IF(L,"開始年","Starting year")</f>
        <v>開始年</v>
      </c>
    </row>
    <row r="7" spans="1:15" ht="18.5" thickBot="1" x14ac:dyDescent="0.6"/>
    <row r="8" spans="1:15" ht="27" thickBot="1" x14ac:dyDescent="0.6">
      <c r="A8" s="66" t="s">
        <v>93</v>
      </c>
      <c r="B8" s="213"/>
      <c r="C8" s="213"/>
      <c r="D8" s="66" t="s">
        <v>93</v>
      </c>
      <c r="E8" s="213"/>
      <c r="F8" s="213"/>
    </row>
    <row r="11" spans="1:15" ht="22.5" customHeight="1" x14ac:dyDescent="0.55000000000000004">
      <c r="B11" s="2" t="str">
        <f>IF(L,"終了希望月（～"&amp;B13&amp;"）","Ending month (-"&amp;B13&amp;")")</f>
        <v>終了希望月（～）</v>
      </c>
      <c r="G11" s="231"/>
      <c r="H11" s="231"/>
      <c r="I11" s="231"/>
      <c r="J11" s="231"/>
      <c r="K11" s="231"/>
      <c r="L11" s="231"/>
      <c r="M11" s="231"/>
      <c r="N11" s="231"/>
      <c r="O11" s="231"/>
    </row>
    <row r="12" spans="1:15" ht="18.5" thickBot="1" x14ac:dyDescent="0.6">
      <c r="G12" s="231"/>
      <c r="H12" s="231"/>
      <c r="I12" s="231"/>
      <c r="J12" s="231"/>
      <c r="K12" s="231"/>
      <c r="L12" s="231"/>
      <c r="M12" s="231"/>
      <c r="N12" s="231"/>
      <c r="O12" s="231"/>
    </row>
    <row r="13" spans="1:15" ht="27" customHeight="1" thickBot="1" x14ac:dyDescent="0.6">
      <c r="A13" s="66" t="s">
        <v>93</v>
      </c>
      <c r="B13" s="213"/>
      <c r="C13" s="213"/>
      <c r="E13" t="str">
        <f>IF(AND(B8&lt;&gt;"",B13&lt;&gt;""),IF(L,"利用期間は ","Term of use is ") &amp; banana!B63 &amp; IF(L," か月です。"," months."),"")</f>
        <v/>
      </c>
      <c r="G13" s="200"/>
      <c r="H13" s="200"/>
      <c r="I13" s="200"/>
      <c r="J13" s="200"/>
      <c r="K13" s="200"/>
      <c r="L13" s="200"/>
      <c r="M13" s="200"/>
      <c r="N13" s="200"/>
      <c r="O13" s="200"/>
    </row>
    <row r="14" spans="1:15" x14ac:dyDescent="0.55000000000000004">
      <c r="G14" s="200"/>
      <c r="H14" s="200"/>
      <c r="I14" s="200"/>
      <c r="J14" s="200"/>
      <c r="K14" s="200"/>
      <c r="L14" s="200"/>
      <c r="M14" s="200"/>
      <c r="N14" s="200"/>
      <c r="O14" s="200"/>
    </row>
    <row r="15" spans="1:15" x14ac:dyDescent="0.55000000000000004">
      <c r="G15" s="200"/>
      <c r="H15" s="200"/>
      <c r="I15" s="200"/>
      <c r="J15" s="200"/>
      <c r="K15" s="200"/>
      <c r="L15" s="200"/>
      <c r="M15" s="200"/>
      <c r="N15" s="200"/>
      <c r="O15" s="200"/>
    </row>
    <row r="16" spans="1:15" ht="22.5" x14ac:dyDescent="0.55000000000000004">
      <c r="B16" s="2" t="str">
        <f>IF(L,"利用希望形態","Form of use")</f>
        <v>利用希望形態</v>
      </c>
      <c r="C16" s="2"/>
    </row>
    <row r="17" spans="1:15" x14ac:dyDescent="0.55000000000000004">
      <c r="D17" t="str">
        <f>IF(AND(banana!H62,banana!H63),"Here",IF(banana!H62,"BEGIN",IF(banana!H63,"END","")))</f>
        <v/>
      </c>
      <c r="E17" t="str">
        <f>IF(AND(banana!I62,banana!I63),"Here",IF(banana!I62,"BEGIN",IF(banana!I63,"END","")))</f>
        <v/>
      </c>
      <c r="F17" t="str">
        <f>IF(AND(banana!J62,banana!J63),"Here",IF(banana!J62,"BEGIN",IF(banana!J63,"END","")))</f>
        <v/>
      </c>
      <c r="G17" t="str">
        <f>IF(AND(banana!K62,banana!K63),"Here",IF(banana!K62,"BEGIN",IF(banana!K63,"END","")))</f>
        <v/>
      </c>
      <c r="H17" t="str">
        <f>IF(AND(banana!L62,banana!L63),"Here",IF(banana!L62,"BEGIN",IF(banana!L63,"END","")))</f>
        <v/>
      </c>
      <c r="I17" t="str">
        <f>IF(AND(banana!M62,banana!M63),"Here",IF(banana!M62,"BEGIN",IF(banana!M63,"END","")))</f>
        <v/>
      </c>
      <c r="J17" t="str">
        <f>IF(AND(banana!N62,banana!N63),"Here",IF(banana!N62,"BEGIN",IF(banana!N63,"END","")))</f>
        <v/>
      </c>
      <c r="K17" t="str">
        <f>IF(AND(banana!O62,banana!O63),"Here",IF(banana!O62,"BEGIN",IF(banana!O63,"END","")))</f>
        <v/>
      </c>
      <c r="L17" t="str">
        <f>IF(AND(banana!P62,banana!P63),"Here",IF(banana!P62,"BEGIN",IF(banana!P63,"END","")))</f>
        <v/>
      </c>
      <c r="M17" t="str">
        <f>IF(AND(banana!E62,banana!E63),"Here",IF(banana!E62,"BEGIN",IF(banana!E63,"END","")))</f>
        <v/>
      </c>
      <c r="N17" t="str">
        <f>IF(AND(banana!F62,banana!F63),"Here",IF(banana!F62,"BEGIN",IF(banana!F63,"END","")))</f>
        <v/>
      </c>
      <c r="O17" t="str">
        <f>IF(AND(banana!G62,banana!G63),"Here",IF(banana!G62,"BEGIN",IF(banana!G63,"END","")))</f>
        <v/>
      </c>
    </row>
    <row r="18" spans="1:15" x14ac:dyDescent="0.55000000000000004">
      <c r="D18" s="134" t="str">
        <f>banana!H56</f>
        <v/>
      </c>
      <c r="E18" s="134" t="str">
        <f>banana!I56</f>
        <v/>
      </c>
      <c r="F18" s="134" t="str">
        <f>banana!J56</f>
        <v/>
      </c>
      <c r="G18" s="134" t="str">
        <f>banana!K56</f>
        <v/>
      </c>
      <c r="H18" s="134" t="str">
        <f>banana!L56</f>
        <v/>
      </c>
      <c r="I18" s="134" t="str">
        <f>banana!M56</f>
        <v/>
      </c>
      <c r="J18" s="134" t="str">
        <f>banana!N56</f>
        <v/>
      </c>
      <c r="K18" s="134" t="str">
        <f>banana!O56</f>
        <v/>
      </c>
      <c r="L18" s="134" t="str">
        <f>banana!P56</f>
        <v/>
      </c>
      <c r="M18" s="134" t="str">
        <f>banana!E56</f>
        <v/>
      </c>
      <c r="N18" s="134" t="str">
        <f>banana!F56</f>
        <v/>
      </c>
      <c r="O18" s="134" t="str">
        <f>banana!G56</f>
        <v/>
      </c>
    </row>
    <row r="19" spans="1:15" ht="22.5" x14ac:dyDescent="0.55000000000000004">
      <c r="D19" s="2" t="str">
        <f>banana!H60</f>
        <v/>
      </c>
      <c r="E19" s="2" t="str">
        <f>banana!I60</f>
        <v/>
      </c>
      <c r="F19" s="2" t="str">
        <f>banana!J60</f>
        <v/>
      </c>
      <c r="G19" s="2" t="str">
        <f>banana!K60</f>
        <v/>
      </c>
      <c r="H19" s="2" t="str">
        <f>banana!L60</f>
        <v/>
      </c>
      <c r="I19" s="2" t="str">
        <f>banana!M60</f>
        <v/>
      </c>
      <c r="J19" s="2" t="str">
        <f>banana!N60</f>
        <v/>
      </c>
      <c r="K19" s="2" t="str">
        <f>banana!O60</f>
        <v/>
      </c>
      <c r="L19" s="2" t="str">
        <f>banana!P60</f>
        <v/>
      </c>
      <c r="M19" s="2" t="str">
        <f>banana!E60</f>
        <v/>
      </c>
      <c r="N19" s="2" t="str">
        <f>banana!F60</f>
        <v/>
      </c>
      <c r="O19" s="2" t="str">
        <f>banana!G60</f>
        <v/>
      </c>
    </row>
    <row r="20" spans="1:15" ht="23" thickBot="1" x14ac:dyDescent="0.6">
      <c r="A20" s="66" t="s">
        <v>93</v>
      </c>
      <c r="B20" s="2" t="str">
        <f>IF(L,"コース","Course")</f>
        <v>コース</v>
      </c>
      <c r="C20" s="2"/>
      <c r="D20" s="2"/>
      <c r="E20" s="2"/>
      <c r="F20" s="2"/>
      <c r="G20" s="2"/>
      <c r="H20" s="2"/>
      <c r="I20" s="2"/>
      <c r="J20" s="2"/>
      <c r="K20" s="2"/>
      <c r="L20" s="2"/>
      <c r="M20" s="2"/>
      <c r="N20" s="2"/>
      <c r="O20" s="2"/>
    </row>
    <row r="21" spans="1:15" ht="27" thickBot="1" x14ac:dyDescent="0.6">
      <c r="D21" s="202"/>
      <c r="E21" s="202"/>
      <c r="F21" s="202"/>
      <c r="G21" s="202"/>
      <c r="H21" s="202"/>
      <c r="I21" s="202"/>
      <c r="J21" s="202"/>
      <c r="K21" s="202"/>
      <c r="L21" s="202"/>
      <c r="M21" s="202"/>
      <c r="N21" s="202"/>
      <c r="O21" s="202"/>
    </row>
    <row r="22" spans="1:15" ht="23" thickBot="1" x14ac:dyDescent="0.6">
      <c r="B22" s="2" t="str">
        <f>banana!E48</f>
        <v>専有追加 (192 CPU コア単位)</v>
      </c>
      <c r="C22" s="2"/>
    </row>
    <row r="23" spans="1:15" ht="27" thickBot="1" x14ac:dyDescent="0.6">
      <c r="D23" s="131"/>
      <c r="E23" s="131"/>
      <c r="F23" s="131"/>
      <c r="G23" s="131"/>
      <c r="H23" s="131"/>
      <c r="I23" s="131"/>
      <c r="J23" s="131"/>
      <c r="K23" s="131"/>
      <c r="L23" s="131"/>
      <c r="M23" s="131"/>
      <c r="N23" s="131"/>
      <c r="O23" s="131"/>
    </row>
    <row r="24" spans="1:15" ht="23" thickBot="1" x14ac:dyDescent="0.6">
      <c r="B24" s="2" t="str">
        <f>banana!E49</f>
        <v>共有追加 (310 CPU コア単位)</v>
      </c>
      <c r="C24" s="2"/>
    </row>
    <row r="25" spans="1:15" ht="27" thickBot="1" x14ac:dyDescent="0.6">
      <c r="D25" s="131"/>
      <c r="E25" s="131"/>
      <c r="F25" s="131"/>
      <c r="G25" s="131"/>
      <c r="H25" s="131"/>
      <c r="I25" s="131"/>
      <c r="J25" s="131"/>
      <c r="K25" s="131"/>
      <c r="L25" s="131"/>
      <c r="M25" s="131"/>
      <c r="N25" s="131"/>
      <c r="O25" s="131"/>
    </row>
    <row r="26" spans="1:15" ht="23" thickBot="1" x14ac:dyDescent="0.6">
      <c r="B26" s="2" t="str">
        <f>banana!E50</f>
        <v>計算ノード Fat 追加 (8 CPU コア単位)</v>
      </c>
      <c r="C26" s="2"/>
    </row>
    <row r="27" spans="1:15" ht="27" thickBot="1" x14ac:dyDescent="0.6">
      <c r="B27" s="2"/>
      <c r="C27" s="2"/>
      <c r="D27" s="131"/>
      <c r="E27" s="131"/>
      <c r="F27" s="131"/>
      <c r="G27" s="131"/>
      <c r="H27" s="131"/>
      <c r="I27" s="131"/>
      <c r="J27" s="131"/>
      <c r="K27" s="131"/>
      <c r="L27" s="131"/>
      <c r="M27" s="131"/>
      <c r="N27" s="131"/>
      <c r="O27" s="131"/>
    </row>
    <row r="28" spans="1:15" ht="23" thickBot="1" x14ac:dyDescent="0.6">
      <c r="B28" s="2" t="str">
        <f>banana!E51</f>
        <v>アクセラレータ V100 追加 (1 GPU 単位)</v>
      </c>
      <c r="C28" s="2"/>
    </row>
    <row r="29" spans="1:15" ht="27" thickBot="1" x14ac:dyDescent="0.6">
      <c r="D29" s="131"/>
      <c r="E29" s="131"/>
      <c r="F29" s="131"/>
      <c r="G29" s="131"/>
      <c r="H29" s="131"/>
      <c r="I29" s="131"/>
      <c r="J29" s="131"/>
      <c r="K29" s="131"/>
      <c r="L29" s="131"/>
      <c r="M29" s="131"/>
      <c r="N29" s="131"/>
      <c r="O29" s="131"/>
    </row>
    <row r="30" spans="1:15" ht="23" thickBot="1" x14ac:dyDescent="0.6">
      <c r="B30" s="2" t="str">
        <f>banana!E52</f>
        <v>アクセラレータ A100 追加 (1 GPU 単位)</v>
      </c>
      <c r="C30" s="2"/>
    </row>
    <row r="31" spans="1:15" ht="27" thickBot="1" x14ac:dyDescent="0.6">
      <c r="D31" s="131"/>
      <c r="E31" s="131"/>
      <c r="F31" s="131"/>
      <c r="G31" s="131"/>
      <c r="H31" s="131"/>
      <c r="I31" s="131"/>
      <c r="J31" s="131"/>
      <c r="K31" s="131"/>
      <c r="L31" s="131"/>
      <c r="M31" s="131"/>
      <c r="N31" s="131"/>
      <c r="O31" s="131"/>
    </row>
    <row r="32" spans="1:15" ht="23" thickBot="1" x14ac:dyDescent="0.6">
      <c r="B32" s="2" t="str">
        <f>banana!E53</f>
        <v>アクセラレータ H100 追加 (1 GPU 単位)</v>
      </c>
      <c r="C32" s="2"/>
    </row>
    <row r="33" spans="2:15" ht="27" thickBot="1" x14ac:dyDescent="0.6">
      <c r="D33" s="131"/>
      <c r="E33" s="131"/>
      <c r="F33" s="131"/>
      <c r="G33" s="131"/>
      <c r="H33" s="131"/>
      <c r="I33" s="131"/>
      <c r="J33" s="131"/>
      <c r="K33" s="131"/>
      <c r="L33" s="131"/>
      <c r="M33" s="131"/>
      <c r="N33" s="131"/>
      <c r="O33" s="131"/>
    </row>
    <row r="34" spans="2:15" ht="23" thickBot="1" x14ac:dyDescent="0.6">
      <c r="B34" s="2" t="str">
        <f>banana!E54</f>
        <v>ホーム Disk 容量追加 (1 TiB 単位)</v>
      </c>
      <c r="C34" s="2"/>
    </row>
    <row r="35" spans="2:15" ht="27" thickBot="1" x14ac:dyDescent="0.6">
      <c r="D35" s="131"/>
      <c r="E35" s="131"/>
      <c r="F35" s="131"/>
      <c r="G35" s="131"/>
      <c r="H35" s="131"/>
      <c r="I35" s="131"/>
      <c r="J35" s="131"/>
      <c r="K35" s="131"/>
      <c r="L35" s="131"/>
      <c r="M35" s="131"/>
      <c r="N35" s="131"/>
      <c r="O35" s="131"/>
    </row>
    <row r="36" spans="2:15" ht="23" thickBot="1" x14ac:dyDescent="0.6">
      <c r="B36" s="2" t="str">
        <f>banana!E55</f>
        <v>アーカイブ Disk 追加 (1 TiB 単位)</v>
      </c>
      <c r="C36" s="2"/>
    </row>
    <row r="37" spans="2:15" ht="27" thickBot="1" x14ac:dyDescent="0.6">
      <c r="D37" s="131"/>
      <c r="E37" s="131"/>
      <c r="F37" s="131"/>
      <c r="G37" s="131"/>
      <c r="H37" s="131"/>
      <c r="I37" s="131"/>
      <c r="J37" s="131"/>
      <c r="K37" s="131"/>
      <c r="L37" s="131"/>
      <c r="M37" s="131"/>
      <c r="N37" s="131"/>
      <c r="O37" s="131"/>
    </row>
    <row r="39" spans="2:15" x14ac:dyDescent="0.55000000000000004">
      <c r="B39" s="12" t="str">
        <f>IF(L,"リソースプレビュー","Resouces preview")</f>
        <v>リソースプレビュー</v>
      </c>
      <c r="D39" t="str">
        <f t="shared" ref="D39:O39" si="0">D19</f>
        <v/>
      </c>
      <c r="E39" t="str">
        <f t="shared" si="0"/>
        <v/>
      </c>
      <c r="F39" t="str">
        <f t="shared" si="0"/>
        <v/>
      </c>
      <c r="G39" t="str">
        <f t="shared" si="0"/>
        <v/>
      </c>
      <c r="H39" t="str">
        <f t="shared" si="0"/>
        <v/>
      </c>
      <c r="I39" t="str">
        <f t="shared" si="0"/>
        <v/>
      </c>
      <c r="J39" t="str">
        <f t="shared" si="0"/>
        <v/>
      </c>
      <c r="K39" t="str">
        <f t="shared" si="0"/>
        <v/>
      </c>
      <c r="L39" t="str">
        <f t="shared" si="0"/>
        <v/>
      </c>
      <c r="M39" t="str">
        <f t="shared" si="0"/>
        <v/>
      </c>
      <c r="N39" t="str">
        <f t="shared" si="0"/>
        <v/>
      </c>
      <c r="O39" t="str">
        <f t="shared" si="0"/>
        <v/>
      </c>
    </row>
    <row r="40" spans="2:15" x14ac:dyDescent="0.55000000000000004">
      <c r="B40" s="10" t="str">
        <f>IF(L,"利用可能なメモリ量","Amount of usable memories")&amp;" (GB)"</f>
        <v>利用可能なメモリ量 (GB)</v>
      </c>
      <c r="C40" s="10"/>
      <c r="D40" s="7">
        <f>IF(ISBLANK(D21),0,INDEX(banana!$L$37:$L$46,banana!H$61+1,1))+D23*banana!$L48+D25*banana!$L49+D27*banana!$L50+D29*banana!$L51+D31*banana!$L52+D33*banana!$L53</f>
        <v>0</v>
      </c>
      <c r="E40" s="7">
        <f>IF(ISBLANK(E21),0,INDEX(banana!$L$37:$L$46,banana!I$61+1,1))+E23*banana!$L48+E25*banana!$L49+E27*banana!$L50+E29*banana!$L51+E31*banana!$L52+E33*banana!$L53</f>
        <v>0</v>
      </c>
      <c r="F40" s="7">
        <f>IF(ISBLANK(F21),0,INDEX(banana!$L$37:$L$46,banana!J$61+1,1))+F23*banana!$L48+F25*banana!$L49+F27*banana!$L50+F29*banana!$L51+F31*banana!$L52+F33*banana!$L53</f>
        <v>0</v>
      </c>
      <c r="G40" s="7">
        <f>IF(ISBLANK(G21),0,INDEX(banana!$L$37:$L$46,banana!K$61+1,1))+G23*banana!$L48+G25*banana!$L49+G27*banana!$L50+G29*banana!$L51+G31*banana!$L52+G33*banana!$L53</f>
        <v>0</v>
      </c>
      <c r="H40" s="7">
        <f>IF(ISBLANK(H21),0,INDEX(banana!$L$37:$L$46,banana!L$61+1,1))+H23*banana!$L48+H25*banana!$L49+H27*banana!$L50+H29*banana!$L51+H31*banana!$L52+H33*banana!$L53</f>
        <v>0</v>
      </c>
      <c r="I40" s="7">
        <f>IF(ISBLANK(I21),0,INDEX(banana!$L$37:$L$46,banana!M$61+1,1))+I23*banana!$L48+I25*banana!$L49+I27*banana!$L50+I29*banana!$L51+I31*banana!$L52+I33*banana!$L53</f>
        <v>0</v>
      </c>
      <c r="J40" s="7">
        <f>IF(ISBLANK(J21),0,INDEX(banana!$L$37:$L$46,banana!N$61+1,1))+J23*banana!$L48+J25*banana!$L49+J27*banana!$L50+J29*banana!$L51+J31*banana!$L52+J33*banana!$L53</f>
        <v>0</v>
      </c>
      <c r="K40" s="7">
        <f>IF(ISBLANK(K21),0,INDEX(banana!$L$37:$L$46,banana!O$61+1,1))+K23*banana!$L48+K25*banana!$L49+K27*banana!$L50+K29*banana!$L51+K31*banana!$L52+K33*banana!$L53</f>
        <v>0</v>
      </c>
      <c r="L40" s="7">
        <f>IF(ISBLANK(L21),0,INDEX(banana!$L$37:$L$46,banana!P$61+1,1))+L23*banana!$L48+L25*banana!$L49+L27*banana!$L50+L29*banana!$L51+L31*banana!$L52+L33*banana!$L53</f>
        <v>0</v>
      </c>
      <c r="M40" s="7">
        <f>IF(ISBLANK(M21),0,INDEX(banana!$L$37:$L$46,banana!E$61+1,1))+M23*banana!$L48+M25*banana!$L49+M27*banana!$L50+M29*banana!$L51+M31*banana!$L52+M33*banana!$L53</f>
        <v>0</v>
      </c>
      <c r="N40" s="7">
        <f>IF(ISBLANK(N21),0,INDEX(banana!$L$37:$L$46,banana!F$61+1,1))+N23*banana!$L48+N25*banana!$L49+N27*banana!$L50+N29*banana!$L51+N31*banana!$L52+N33*banana!$L53</f>
        <v>0</v>
      </c>
      <c r="O40" s="7">
        <f>IF(ISBLANK(O21),0,INDEX(banana!$L$37:$L$46,banana!G$61+1,1))+O23*banana!$L48+O25*banana!$L49+O27*banana!$L50+O29*banana!$L51+O31*banana!$L52+O33*banana!$L53</f>
        <v>0</v>
      </c>
    </row>
    <row r="41" spans="2:15" x14ac:dyDescent="0.55000000000000004">
      <c r="B41" s="10" t="str">
        <f>IF(L,"利用可能な CPU コア数 (専有)","Number of potentially usable CPU cores (exclusive)")</f>
        <v>利用可能な CPU コア数 (専有)</v>
      </c>
      <c r="C41" s="10"/>
      <c r="D41" s="7">
        <f>IF(ISBLANK(D21),0,INDEX(banana!$M$37:$M$46,banana!H$61+1,1))+D23*banana!$M48</f>
        <v>0</v>
      </c>
      <c r="E41" s="7">
        <f>IF(ISBLANK(E21),0,INDEX(banana!$M$37:$M$46,banana!I$61+1,1))+E23*banana!$M48</f>
        <v>0</v>
      </c>
      <c r="F41" s="7">
        <f>IF(ISBLANK(F21),0,INDEX(banana!$M$37:$M$46,banana!J$61+1,1))+F23*banana!$M48</f>
        <v>0</v>
      </c>
      <c r="G41" s="7">
        <f>IF(ISBLANK(G21),0,INDEX(banana!$M$37:$M$46,banana!K$61+1,1))+G23*banana!$M48</f>
        <v>0</v>
      </c>
      <c r="H41" s="7">
        <f>IF(ISBLANK(H21),0,INDEX(banana!$M$37:$M$46,banana!L$61+1,1))+H23*banana!$M48</f>
        <v>0</v>
      </c>
      <c r="I41" s="7">
        <f>IF(ISBLANK(I21),0,INDEX(banana!$M$37:$M$46,banana!M$61+1,1))+I23*banana!$M48</f>
        <v>0</v>
      </c>
      <c r="J41" s="7">
        <f>IF(ISBLANK(J21),0,INDEX(banana!$M$37:$M$46,banana!N$61+1,1))+J23*banana!$M48</f>
        <v>0</v>
      </c>
      <c r="K41" s="7">
        <f>IF(ISBLANK(K21),0,INDEX(banana!$M$37:$M$46,banana!O$61+1,1))+K23*banana!$M48</f>
        <v>0</v>
      </c>
      <c r="L41" s="7">
        <f>IF(ISBLANK(L21),0,INDEX(banana!$M$37:$M$46,banana!P$61+1,1))+L23*banana!$M48</f>
        <v>0</v>
      </c>
      <c r="M41" s="7">
        <f>IF(ISBLANK(M21),0,INDEX(banana!$M$37:$M$46,banana!E$61+1,1))+M23*banana!$M48</f>
        <v>0</v>
      </c>
      <c r="N41" s="7">
        <f>IF(ISBLANK(N21),0,INDEX(banana!$M$37:$M$46,banana!F$61+1,1))+N23*banana!$M48</f>
        <v>0</v>
      </c>
      <c r="O41" s="7">
        <f>IF(ISBLANK(O21),0,INDEX(banana!$M$37:$M$46,banana!G$61+1,1))+O23*banana!$M48</f>
        <v>0</v>
      </c>
    </row>
    <row r="42" spans="2:15" x14ac:dyDescent="0.55000000000000004">
      <c r="B42" s="10" t="str">
        <f>IF(L,"利用可能な CPU コア数 (共有)","Number of potentially usable CPU cores (shared)")</f>
        <v>利用可能な CPU コア数 (共有)</v>
      </c>
      <c r="C42" s="10"/>
      <c r="D42">
        <f>IF(ISBLANK(D21),0,INDEX(banana!$N$37:$N$46,banana!H$61+1,1))+D25*banana!$N49</f>
        <v>0</v>
      </c>
      <c r="E42">
        <f>IF(ISBLANK(E21),0,INDEX(banana!$N$37:$N$46,banana!I$61+1,1))+E25*banana!$N49</f>
        <v>0</v>
      </c>
      <c r="F42">
        <f>IF(ISBLANK(F21),0,INDEX(banana!$N$37:$N$46,banana!J$61+1,1))+F25*banana!$N49</f>
        <v>0</v>
      </c>
      <c r="G42">
        <f>IF(ISBLANK(G21),0,INDEX(banana!$N$37:$N$46,banana!K$61+1,1))+G25*banana!$N49</f>
        <v>0</v>
      </c>
      <c r="H42">
        <f>IF(ISBLANK(H21),0,INDEX(banana!$N$37:$N$46,banana!L$61+1,1))+H25*banana!$N49</f>
        <v>0</v>
      </c>
      <c r="I42">
        <f>IF(ISBLANK(I21),0,INDEX(banana!$N$37:$N$46,banana!M$61+1,1))+I25*banana!$N49</f>
        <v>0</v>
      </c>
      <c r="J42">
        <f>IF(ISBLANK(J21),0,INDEX(banana!$N$37:$N$46,banana!N$61+1,1))+J25*banana!$N49</f>
        <v>0</v>
      </c>
      <c r="K42">
        <f>IF(ISBLANK(K21),0,INDEX(banana!$N$37:$N$46,banana!O$61+1,1))+K25*banana!$N49</f>
        <v>0</v>
      </c>
      <c r="L42">
        <f>IF(ISBLANK(L21),0,INDEX(banana!$N$37:$N$46,banana!P$61+1,1))+L25*banana!$N49</f>
        <v>0</v>
      </c>
      <c r="M42">
        <f>IF(ISBLANK(M21),0,INDEX(banana!$N$37:$N$46,banana!E$61+1,1))+M25*banana!$N49</f>
        <v>0</v>
      </c>
      <c r="N42">
        <f>IF(ISBLANK(N21),0,INDEX(banana!$N$37:$N$46,banana!F$61+1,1))+N25*banana!$N49</f>
        <v>0</v>
      </c>
      <c r="O42">
        <f>IF(ISBLANK(O21),0,INDEX(banana!$N$37:$N$46,banana!G$61+1,1))+O25*banana!$N49</f>
        <v>0</v>
      </c>
    </row>
    <row r="43" spans="2:15" x14ac:dyDescent="0.55000000000000004">
      <c r="B43" s="10" t="s">
        <v>15</v>
      </c>
      <c r="C43" s="11"/>
      <c r="D43">
        <f>IF(ISBLANK(D21),0,INDEX(banana!$O$37:$O$46,banana!H$61+1,1))+D27*banana!$O50</f>
        <v>0</v>
      </c>
      <c r="E43">
        <f>IF(ISBLANK(E21),0,INDEX(banana!$O$37:$O$46,banana!I$61+1,1))+E27*banana!$O50</f>
        <v>0</v>
      </c>
      <c r="F43">
        <f>IF(ISBLANK(F21),0,INDEX(banana!$O$37:$O$46,banana!J$61+1,1))+F27*banana!$O50</f>
        <v>0</v>
      </c>
      <c r="G43">
        <f>IF(ISBLANK(G21),0,INDEX(banana!$O$37:$O$46,banana!K$61+1,1))+G27*banana!$O50</f>
        <v>0</v>
      </c>
      <c r="H43">
        <f>IF(ISBLANK(H21),0,INDEX(banana!$O$37:$O$46,banana!L$61+1,1))+H27*banana!$O50</f>
        <v>0</v>
      </c>
      <c r="I43">
        <f>IF(ISBLANK(I21),0,INDEX(banana!$O$37:$O$46,banana!M$61+1,1))+I27*banana!$O50</f>
        <v>0</v>
      </c>
      <c r="J43">
        <f>IF(ISBLANK(J21),0,INDEX(banana!$O$37:$O$46,banana!N$61+1,1))+J27*banana!$O50</f>
        <v>0</v>
      </c>
      <c r="K43">
        <f>IF(ISBLANK(K21),0,INDEX(banana!$O$37:$O$46,banana!O$61+1,1))+K27*banana!$O50</f>
        <v>0</v>
      </c>
      <c r="L43">
        <f>IF(ISBLANK(L21),0,INDEX(banana!$O$37:$O$46,banana!P$61+1,1))+L27*banana!$O50</f>
        <v>0</v>
      </c>
      <c r="M43">
        <f>IF(ISBLANK(M21),0,INDEX(banana!$O$37:$O$46,banana!E$61+1,1))+M27*banana!$O50</f>
        <v>0</v>
      </c>
      <c r="N43">
        <f>IF(ISBLANK(N21),0,INDEX(banana!$O$37:$O$46,banana!F$61+1,1))+N27*banana!$O50</f>
        <v>0</v>
      </c>
      <c r="O43">
        <f>IF(ISBLANK(O21),0,INDEX(banana!$O$37:$O$46,banana!G$61+1,1))+O27*banana!$O50</f>
        <v>0</v>
      </c>
    </row>
    <row r="44" spans="2:15" x14ac:dyDescent="0.55000000000000004">
      <c r="B44" s="11" t="s">
        <v>16</v>
      </c>
      <c r="C44" s="11"/>
      <c r="D44">
        <f>IF(ISBLANK(D21),0,INDEX(banana!$P$37:$P$46,banana!H$61+1,1))+D29*banana!$P51</f>
        <v>0</v>
      </c>
      <c r="E44">
        <f>IF(ISBLANK(E21),0,INDEX(banana!$P$37:$P$46,banana!I$61+1,1))+E29*banana!$P51</f>
        <v>0</v>
      </c>
      <c r="F44">
        <f>IF(ISBLANK(F21),0,INDEX(banana!$P$37:$P$46,banana!J$61+1,1))+F29*banana!$P51</f>
        <v>0</v>
      </c>
      <c r="G44">
        <f>IF(ISBLANK(G21),0,INDEX(banana!$P$37:$P$46,banana!K$61+1,1))+G29*banana!$P51</f>
        <v>0</v>
      </c>
      <c r="H44">
        <f>IF(ISBLANK(H21),0,INDEX(banana!$P$37:$P$46,banana!L$61+1,1))+H29*banana!$P51</f>
        <v>0</v>
      </c>
      <c r="I44">
        <f>IF(ISBLANK(I21),0,INDEX(banana!$P$37:$P$46,banana!M$61+1,1))+I29*banana!$P51</f>
        <v>0</v>
      </c>
      <c r="J44">
        <f>IF(ISBLANK(J21),0,INDEX(banana!$P$37:$P$46,banana!N$61+1,1))+J29*banana!$P51</f>
        <v>0</v>
      </c>
      <c r="K44">
        <f>IF(ISBLANK(K21),0,INDEX(banana!$P$37:$P$46,banana!O$61+1,1))+K29*banana!$P51</f>
        <v>0</v>
      </c>
      <c r="L44">
        <f>IF(ISBLANK(L21),0,INDEX(banana!$P$37:$P$46,banana!P$61+1,1))+L29*banana!$P51</f>
        <v>0</v>
      </c>
      <c r="M44">
        <f>IF(ISBLANK(M21),0,INDEX(banana!$P$37:$P$46,banana!E$61+1,1))+M29*banana!$P51</f>
        <v>0</v>
      </c>
      <c r="N44">
        <f>IF(ISBLANK(N21),0,INDEX(banana!$P$37:$P$46,banana!F$61+1,1))+N29*banana!$P51</f>
        <v>0</v>
      </c>
      <c r="O44">
        <f>IF(ISBLANK(O21),0,INDEX(banana!$P$37:$P$46,banana!G$61+1,1))+O29*banana!$P51</f>
        <v>0</v>
      </c>
    </row>
    <row r="45" spans="2:15" x14ac:dyDescent="0.55000000000000004">
      <c r="B45" s="11" t="s">
        <v>186</v>
      </c>
      <c r="C45" s="11"/>
      <c r="D45" s="199">
        <f>IF(ISBLANK(D21),0,INDEX(banana!$Q$37:$Q$46,banana!H$61+1,1))+D31*banana!$Q52</f>
        <v>0</v>
      </c>
      <c r="E45" s="199">
        <f>IF(ISBLANK(E21),0,INDEX(banana!$Q$37:$Q$46,banana!I$61+1,1))+E31*banana!$Q52</f>
        <v>0</v>
      </c>
      <c r="F45" s="199">
        <f>IF(ISBLANK(F21),0,INDEX(banana!$Q$37:$Q$46,banana!J$61+1,1))+F31*banana!$Q52</f>
        <v>0</v>
      </c>
      <c r="G45" s="199">
        <f>IF(ISBLANK(G21),0,INDEX(banana!$Q$37:$Q$46,banana!K$61+1,1))+G31*banana!$Q52</f>
        <v>0</v>
      </c>
      <c r="H45" s="199">
        <f>IF(ISBLANK(H21),0,INDEX(banana!$Q$37:$Q$46,banana!L$61+1,1))+H31*banana!$Q52</f>
        <v>0</v>
      </c>
      <c r="I45" s="199">
        <f>IF(ISBLANK(I21),0,INDEX(banana!$Q$37:$Q$46,banana!M$61+1,1))+I31*banana!$Q52</f>
        <v>0</v>
      </c>
      <c r="J45" s="199">
        <f>IF(ISBLANK(J21),0,INDEX(banana!$Q$37:$Q$46,banana!N$61+1,1))+J31*banana!$Q52</f>
        <v>0</v>
      </c>
      <c r="K45" s="199">
        <f>IF(ISBLANK(K21),0,INDEX(banana!$Q$37:$Q$46,banana!O$61+1,1))+K31*banana!$Q52</f>
        <v>0</v>
      </c>
      <c r="L45" s="199">
        <f>IF(ISBLANK(L21),0,INDEX(banana!$Q$37:$Q$46,banana!P$61+1,1))+L31*banana!$Q52</f>
        <v>0</v>
      </c>
      <c r="M45" s="199">
        <f>IF(ISBLANK(M21),0,INDEX(banana!$Q$37:$Q$46,banana!E$61+1,1))+M31*banana!$Q52</f>
        <v>0</v>
      </c>
      <c r="N45" s="199">
        <f>IF(ISBLANK(N21),0,INDEX(banana!$Q$37:$Q$46,banana!F$61+1,1))+N31*banana!$Q52</f>
        <v>0</v>
      </c>
      <c r="O45" s="199">
        <f>IF(ISBLANK(O21),0,INDEX(banana!$Q$37:$Q$46,banana!G$61+1,1))+O31*banana!$Q52</f>
        <v>0</v>
      </c>
    </row>
    <row r="46" spans="2:15" x14ac:dyDescent="0.55000000000000004">
      <c r="B46" s="11" t="s">
        <v>192</v>
      </c>
      <c r="C46" s="11"/>
      <c r="D46" s="199">
        <f>IF(ISBLANK(D21),0,INDEX(banana!$R$37:$R$46,banana!H$61+1,1))+D33*banana!$R53</f>
        <v>0</v>
      </c>
      <c r="E46" s="199">
        <f>IF(ISBLANK(E21),0,INDEX(banana!$R$37:$R$46,banana!I$61+1,1))+E33*banana!$R53</f>
        <v>0</v>
      </c>
      <c r="F46" s="199">
        <f>IF(ISBLANK(F21),0,INDEX(banana!$R$37:$R$46,banana!J$61+1,1))+F33*banana!$R53</f>
        <v>0</v>
      </c>
      <c r="G46" s="199">
        <f>IF(ISBLANK(G21),0,INDEX(banana!$R$37:$R$46,banana!K$61+1,1))+G33*banana!$R53</f>
        <v>0</v>
      </c>
      <c r="H46" s="199">
        <f>IF(ISBLANK(H21),0,INDEX(banana!$R$37:$R$46,banana!L$61+1,1))+H33*banana!$R53</f>
        <v>0</v>
      </c>
      <c r="I46" s="199">
        <f>IF(ISBLANK(I21),0,INDEX(banana!$R$37:$R$46,banana!M$61+1,1))+I33*banana!$R53</f>
        <v>0</v>
      </c>
      <c r="J46" s="199">
        <f>IF(ISBLANK(J21),0,INDEX(banana!$R$37:$R$46,banana!N$61+1,1))+J33*banana!$R53</f>
        <v>0</v>
      </c>
      <c r="K46" s="199">
        <f>IF(ISBLANK(K21),0,INDEX(banana!$R$37:$R$46,banana!O$61+1,1))+K33*banana!$R53</f>
        <v>0</v>
      </c>
      <c r="L46" s="199">
        <f>IF(ISBLANK(L21),0,INDEX(banana!$R$37:$R$46,banana!P$61+1,1))+L33*banana!$R53</f>
        <v>0</v>
      </c>
      <c r="M46" s="199">
        <f>IF(ISBLANK(M21),0,INDEX(banana!$R$37:$R$46,banana!Q$61+1,1))+M33*banana!$R53</f>
        <v>0</v>
      </c>
      <c r="N46" s="199">
        <f>IF(ISBLANK(N21),0,INDEX(banana!$R$37:$R$46,banana!R$61+1,1))+N33*banana!$R53</f>
        <v>0</v>
      </c>
      <c r="O46" s="199">
        <f>IF(ISBLANK(O21),0,INDEX(banana!$R$37:$R$46,banana!S$61+1,1))+O33*banana!$R53</f>
        <v>0</v>
      </c>
    </row>
    <row r="47" spans="2:15" x14ac:dyDescent="0.55000000000000004">
      <c r="B47" s="228" t="str">
        <f>IF(L,"ホーム Disk","Home Disk")</f>
        <v>ホーム Disk</v>
      </c>
      <c r="C47" s="11" t="str">
        <f>IF(L,"容量 (TiB)","Space (TiB)")</f>
        <v>容量 (TiB)</v>
      </c>
      <c r="D47">
        <f>IF(ISBLANK(D21),0,INDEX(banana!$J$37:$J$46,banana!H$61+1,1))+D35*banana!$J54</f>
        <v>0</v>
      </c>
      <c r="E47">
        <f>IF(ISBLANK(E21),0,INDEX(banana!$J$37:$J$46,banana!I$61+1,1))+E35*banana!$J54</f>
        <v>0</v>
      </c>
      <c r="F47">
        <f>IF(ISBLANK(F21),0,INDEX(banana!$J$37:$J$46,banana!J$61+1,1))+F35*banana!$J54</f>
        <v>0</v>
      </c>
      <c r="G47">
        <f>IF(ISBLANK(G21),0,INDEX(banana!$J$37:$J$46,banana!K$61+1,1))+G35*banana!$J54</f>
        <v>0</v>
      </c>
      <c r="H47">
        <f>IF(ISBLANK(H21),0,INDEX(banana!$J$37:$J$46,banana!L$61+1,1))+H35*banana!$J54</f>
        <v>0</v>
      </c>
      <c r="I47">
        <f>IF(ISBLANK(I21),0,INDEX(banana!$J$37:$J$46,banana!M$61+1,1))+I35*banana!$J54</f>
        <v>0</v>
      </c>
      <c r="J47">
        <f>IF(ISBLANK(J21),0,INDEX(banana!$J$37:$J$46,banana!N$61+1,1))+J35*banana!$J54</f>
        <v>0</v>
      </c>
      <c r="K47">
        <f>IF(ISBLANK(K21),0,INDEX(banana!$J$37:$J$46,banana!O$61+1,1))+K35*banana!$J54</f>
        <v>0</v>
      </c>
      <c r="L47">
        <f>IF(ISBLANK(L21),0,INDEX(banana!$J$37:$J$46,banana!P$61+1,1))+L35*banana!$J54</f>
        <v>0</v>
      </c>
      <c r="M47">
        <f>IF(ISBLANK(M21),0,INDEX(banana!$J$37:$J$46,banana!E$61+1,1))+M35*banana!$J54</f>
        <v>0</v>
      </c>
      <c r="N47">
        <f>IF(ISBLANK(N21),0,INDEX(banana!$J$37:$J$46,banana!F$61+1,1))+N35*banana!$J54</f>
        <v>0</v>
      </c>
      <c r="O47">
        <f>IF(ISBLANK(O21),0,INDEX(banana!$J$37:$J$46,banana!G$61+1,1))+O35*banana!$J54</f>
        <v>0</v>
      </c>
    </row>
    <row r="48" spans="2:15" x14ac:dyDescent="0.55000000000000004">
      <c r="B48" s="228"/>
      <c r="C48" s="11" t="str">
        <f>IF(L,"ファイル数 (百万)","Number of files (million)")</f>
        <v>ファイル数 (百万)</v>
      </c>
      <c r="D48">
        <f>IF(ISBLANK(D21),0,INDEX(banana!$J$37:$J$46,banana!H$61+1,1))+D35*banana!$J54</f>
        <v>0</v>
      </c>
      <c r="E48">
        <f>IF(ISBLANK(E21),0,INDEX(banana!$J$37:$J$46,banana!I$61+1,1))+E35*banana!$J54</f>
        <v>0</v>
      </c>
      <c r="F48">
        <f>IF(ISBLANK(F21),0,INDEX(banana!$J$37:$J$46,banana!J$61+1,1))+F35*banana!$J54</f>
        <v>0</v>
      </c>
      <c r="G48">
        <f>IF(ISBLANK(G21),0,INDEX(banana!$J$37:$J$46,banana!K$61+1,1))+G35*banana!$J54</f>
        <v>0</v>
      </c>
      <c r="H48">
        <f>IF(ISBLANK(H21),0,INDEX(banana!$J$37:$J$46,banana!L$61+1,1))+H35*banana!$J54</f>
        <v>0</v>
      </c>
      <c r="I48">
        <f>IF(ISBLANK(I21),0,INDEX(banana!$J$37:$J$46,banana!M$61+1,1))+I35*banana!$J54</f>
        <v>0</v>
      </c>
      <c r="J48">
        <f>IF(ISBLANK(J21),0,INDEX(banana!$J$37:$J$46,banana!N$61+1,1))+J35*banana!$J54</f>
        <v>0</v>
      </c>
      <c r="K48">
        <f>IF(ISBLANK(K21),0,INDEX(banana!$J$37:$J$46,banana!O$61+1,1))+K35*banana!$J54</f>
        <v>0</v>
      </c>
      <c r="L48">
        <f>IF(ISBLANK(L21),0,INDEX(banana!$J$37:$J$46,banana!P$61+1,1))+L35*banana!$J54</f>
        <v>0</v>
      </c>
      <c r="M48">
        <f>IF(ISBLANK(M21),0,INDEX(banana!$J$37:$J$46,banana!E$61+1,1))+M35*banana!$J54</f>
        <v>0</v>
      </c>
      <c r="N48">
        <f>IF(ISBLANK(N21),0,INDEX(banana!$J$37:$J$46,banana!F$61+1,1))+N35*banana!$J54</f>
        <v>0</v>
      </c>
      <c r="O48">
        <f>IF(ISBLANK(O21),0,INDEX(banana!$J$37:$J$46,banana!G$61+1,1))+O35*banana!$J54</f>
        <v>0</v>
      </c>
    </row>
    <row r="49" spans="2:15" x14ac:dyDescent="0.55000000000000004">
      <c r="B49" s="11" t="str">
        <f>IF(L,"アーカイブ Disk 容量 (TiB)","Archive Disk space (TiB)")</f>
        <v>アーカイブ Disk 容量 (TiB)</v>
      </c>
      <c r="C49" s="11"/>
      <c r="D49">
        <f>IF(ISBLANK(D21),0,INDEX(banana!$K$37:$K$46,banana!H$61+1,1))+D37*banana!$K55</f>
        <v>0</v>
      </c>
      <c r="E49">
        <f>IF(ISBLANK(E21),0,INDEX(banana!$K$37:$K$46,banana!I$61+1,1))+E37*banana!$K55</f>
        <v>0</v>
      </c>
      <c r="F49">
        <f>IF(ISBLANK(F21),0,INDEX(banana!$K$37:$K$46,banana!J$61+1,1))+F37*banana!$K55</f>
        <v>0</v>
      </c>
      <c r="G49">
        <f>IF(ISBLANK(G21),0,INDEX(banana!$K$37:$K$46,banana!K$61+1,1))+G37*banana!$K55</f>
        <v>0</v>
      </c>
      <c r="H49">
        <f>IF(ISBLANK(H21),0,INDEX(banana!$K$37:$K$46,banana!L$61+1,1))+H37*banana!$K55</f>
        <v>0</v>
      </c>
      <c r="I49">
        <f>IF(ISBLANK(I21),0,INDEX(banana!$K$37:$K$46,banana!M$61+1,1))+I37*banana!$K55</f>
        <v>0</v>
      </c>
      <c r="J49">
        <f>IF(ISBLANK(J21),0,INDEX(banana!$K$37:$K$46,banana!N$61+1,1))+J37*banana!$K55</f>
        <v>0</v>
      </c>
      <c r="K49">
        <f>IF(ISBLANK(K21),0,INDEX(banana!$K$37:$K$46,banana!O$61+1,1))+K37*banana!$K55</f>
        <v>0</v>
      </c>
      <c r="L49">
        <f>IF(ISBLANK(L21),0,INDEX(banana!$K$37:$K$46,banana!P$61+1,1))+L37*banana!$K55</f>
        <v>0</v>
      </c>
      <c r="M49">
        <f>IF(ISBLANK(M21),0,INDEX(banana!$K$37:$K$46,banana!E$61+1,1))+M37*banana!$K55</f>
        <v>0</v>
      </c>
      <c r="N49">
        <f>IF(ISBLANK(N21),0,INDEX(banana!$K$37:$K$46,banana!F$61+1,1))+N37*banana!$K55</f>
        <v>0</v>
      </c>
      <c r="O49">
        <f>IF(ISBLANK(O21),0,INDEX(banana!$K$37:$K$46,banana!G$61+1,1))+O37*banana!$K55</f>
        <v>0</v>
      </c>
    </row>
    <row r="50" spans="2:15" x14ac:dyDescent="0.55000000000000004">
      <c r="B50" s="230" t="e">
        <f>banana!F221</f>
        <v>#N/A</v>
      </c>
      <c r="C50" s="230"/>
      <c r="D50" s="230"/>
      <c r="E50" s="230"/>
      <c r="F50" s="230"/>
      <c r="G50" s="230"/>
      <c r="H50" s="230"/>
      <c r="I50" s="230"/>
      <c r="J50" s="230"/>
      <c r="K50" s="230"/>
      <c r="L50" s="230"/>
      <c r="M50" s="230"/>
      <c r="N50" s="230"/>
      <c r="O50" s="230"/>
    </row>
    <row r="51" spans="2:15" x14ac:dyDescent="0.55000000000000004">
      <c r="B51" s="12" t="str">
        <f>IF(L,"料金プレビュー","Fee preview")</f>
        <v>料金プレビュー</v>
      </c>
      <c r="D51" t="str">
        <f t="shared" ref="D51:O51" si="1">D19</f>
        <v/>
      </c>
      <c r="E51" t="str">
        <f t="shared" si="1"/>
        <v/>
      </c>
      <c r="F51" t="str">
        <f t="shared" si="1"/>
        <v/>
      </c>
      <c r="G51" t="str">
        <f t="shared" si="1"/>
        <v/>
      </c>
      <c r="H51" t="str">
        <f t="shared" si="1"/>
        <v/>
      </c>
      <c r="I51" t="str">
        <f t="shared" si="1"/>
        <v/>
      </c>
      <c r="J51" t="str">
        <f t="shared" si="1"/>
        <v/>
      </c>
      <c r="K51" t="str">
        <f t="shared" si="1"/>
        <v/>
      </c>
      <c r="L51" t="str">
        <f t="shared" si="1"/>
        <v/>
      </c>
      <c r="M51" t="str">
        <f t="shared" si="1"/>
        <v/>
      </c>
      <c r="N51" t="str">
        <f t="shared" si="1"/>
        <v/>
      </c>
      <c r="O51" t="str">
        <f t="shared" si="1"/>
        <v/>
      </c>
    </row>
    <row r="52" spans="2:15" x14ac:dyDescent="0.55000000000000004">
      <c r="B52" s="11" t="str">
        <f>IF(L,"月々利用料金表","Monthly use fee chart")</f>
        <v>月々利用料金表</v>
      </c>
      <c r="D52" s="65">
        <f>SUM(D53:D62)</f>
        <v>0</v>
      </c>
      <c r="E52" s="65">
        <f t="shared" ref="E52:O52" si="2">SUM(E53:E62)</f>
        <v>0</v>
      </c>
      <c r="F52" s="65">
        <f t="shared" si="2"/>
        <v>0</v>
      </c>
      <c r="G52" s="65">
        <f t="shared" si="2"/>
        <v>0</v>
      </c>
      <c r="H52" s="65">
        <f t="shared" si="2"/>
        <v>0</v>
      </c>
      <c r="I52" s="65">
        <f t="shared" si="2"/>
        <v>0</v>
      </c>
      <c r="J52" s="65">
        <f t="shared" si="2"/>
        <v>0</v>
      </c>
      <c r="K52" s="65">
        <f t="shared" si="2"/>
        <v>0</v>
      </c>
      <c r="L52" s="65">
        <f t="shared" si="2"/>
        <v>0</v>
      </c>
      <c r="M52" s="65">
        <f t="shared" si="2"/>
        <v>0</v>
      </c>
      <c r="N52" s="65">
        <f t="shared" si="2"/>
        <v>0</v>
      </c>
      <c r="O52" s="65">
        <f t="shared" si="2"/>
        <v>0</v>
      </c>
    </row>
    <row r="53" spans="2:15" x14ac:dyDescent="0.55000000000000004">
      <c r="B53" s="11" t="str">
        <f>B20</f>
        <v>コース</v>
      </c>
      <c r="D53" s="7">
        <f>IF(ISBLANK(D21),0,INDEX(banana!$H$37:$H$46,banana!H$61+1,1))</f>
        <v>0</v>
      </c>
      <c r="E53" s="7">
        <f>IF(ISBLANK(E21),0,INDEX(banana!$H$37:$H$46,banana!I$61+1,1))</f>
        <v>0</v>
      </c>
      <c r="F53" s="7">
        <f>IF(ISBLANK(F21),0,INDEX(banana!$H$37:$H$46,banana!J$61+1,1))</f>
        <v>0</v>
      </c>
      <c r="G53" s="7">
        <f>IF(ISBLANK(G21),0,INDEX(banana!$H$37:$H$46,banana!K$61+1,1))</f>
        <v>0</v>
      </c>
      <c r="H53" s="7">
        <f>IF(ISBLANK(H21),0,INDEX(banana!$H$37:$H$46,banana!L$61+1,1))</f>
        <v>0</v>
      </c>
      <c r="I53" s="7">
        <f>IF(ISBLANK(I21),0,INDEX(banana!$H$37:$H$46,banana!M$61+1,1))</f>
        <v>0</v>
      </c>
      <c r="J53" s="7">
        <f>IF(ISBLANK(J21),0,INDEX(banana!$H$37:$H$46,banana!N$61+1,1))</f>
        <v>0</v>
      </c>
      <c r="K53" s="7">
        <f>IF(ISBLANK(K21),0,INDEX(banana!$H$37:$H$46,banana!O$61+1,1))</f>
        <v>0</v>
      </c>
      <c r="L53" s="7">
        <f>IF(ISBLANK(L21),0,INDEX(banana!$H$37:$H$46,banana!P$61+1,1))</f>
        <v>0</v>
      </c>
      <c r="M53" s="7">
        <f>IF(ISBLANK(M21),0,INDEX(banana!$H$37:$H$46,banana!E$61+1,1))</f>
        <v>0</v>
      </c>
      <c r="N53" s="7">
        <f>IF(ISBLANK(N21),0,INDEX(banana!$H$37:$H$46,banana!F$61+1,1))</f>
        <v>0</v>
      </c>
      <c r="O53" s="7">
        <f>IF(ISBLANK(O21),0,INDEX(banana!$H$37:$H$46,banana!G$61+1,1))</f>
        <v>0</v>
      </c>
    </row>
    <row r="54" spans="2:15" x14ac:dyDescent="0.55000000000000004">
      <c r="B54" s="10" t="str">
        <f t="shared" ref="B54:B59" si="3">B41</f>
        <v>利用可能な CPU コア数 (専有)</v>
      </c>
      <c r="D54" s="7">
        <f>D23*banana!$H48</f>
        <v>0</v>
      </c>
      <c r="E54" s="7">
        <f>E23*banana!$H48</f>
        <v>0</v>
      </c>
      <c r="F54" s="7">
        <f>F23*banana!$H48</f>
        <v>0</v>
      </c>
      <c r="G54" s="7">
        <f>G23*banana!$H48</f>
        <v>0</v>
      </c>
      <c r="H54" s="7">
        <f>H23*banana!$H48</f>
        <v>0</v>
      </c>
      <c r="I54" s="7">
        <f>I23*banana!$H48</f>
        <v>0</v>
      </c>
      <c r="J54" s="7">
        <f>J23*banana!$H48</f>
        <v>0</v>
      </c>
      <c r="K54" s="7">
        <f>K23*banana!$H48</f>
        <v>0</v>
      </c>
      <c r="L54" s="7">
        <f>L23*banana!$H48</f>
        <v>0</v>
      </c>
      <c r="M54" s="7">
        <f>M23*banana!$H48</f>
        <v>0</v>
      </c>
      <c r="N54" s="7">
        <f>N23*banana!$H48</f>
        <v>0</v>
      </c>
      <c r="O54" s="7">
        <f>O23*banana!$H48</f>
        <v>0</v>
      </c>
    </row>
    <row r="55" spans="2:15" x14ac:dyDescent="0.55000000000000004">
      <c r="B55" s="10" t="str">
        <f t="shared" si="3"/>
        <v>利用可能な CPU コア数 (共有)</v>
      </c>
      <c r="D55" s="7">
        <f>D25*banana!$H49</f>
        <v>0</v>
      </c>
      <c r="E55" s="7">
        <f>E25*banana!$H49</f>
        <v>0</v>
      </c>
      <c r="F55" s="7">
        <f>F25*banana!$H49</f>
        <v>0</v>
      </c>
      <c r="G55" s="7">
        <f>G25*banana!$H49</f>
        <v>0</v>
      </c>
      <c r="H55" s="7">
        <f>H25*banana!$H49</f>
        <v>0</v>
      </c>
      <c r="I55" s="7">
        <f>I25*banana!$H49</f>
        <v>0</v>
      </c>
      <c r="J55" s="7">
        <f>J25*banana!$H49</f>
        <v>0</v>
      </c>
      <c r="K55" s="7">
        <f>K25*banana!$H49</f>
        <v>0</v>
      </c>
      <c r="L55" s="7">
        <f>L25*banana!$H49</f>
        <v>0</v>
      </c>
      <c r="M55" s="7">
        <f>M25*banana!$H49</f>
        <v>0</v>
      </c>
      <c r="N55" s="7">
        <f>N25*banana!$H49</f>
        <v>0</v>
      </c>
      <c r="O55" s="7">
        <f>O25*banana!$H49</f>
        <v>0</v>
      </c>
    </row>
    <row r="56" spans="2:15" x14ac:dyDescent="0.55000000000000004">
      <c r="B56" s="10" t="str">
        <f t="shared" si="3"/>
        <v>Fat</v>
      </c>
      <c r="D56" s="7">
        <f>D27*banana!$H50</f>
        <v>0</v>
      </c>
      <c r="E56" s="7">
        <f>E27*banana!$H50</f>
        <v>0</v>
      </c>
      <c r="F56" s="7">
        <f>F27*banana!$H50</f>
        <v>0</v>
      </c>
      <c r="G56" s="7">
        <f>G27*banana!$H50</f>
        <v>0</v>
      </c>
      <c r="H56" s="7">
        <f>H27*banana!$H50</f>
        <v>0</v>
      </c>
      <c r="I56" s="7">
        <f>I27*banana!$H50</f>
        <v>0</v>
      </c>
      <c r="J56" s="7">
        <f>J27*banana!$H50</f>
        <v>0</v>
      </c>
      <c r="K56" s="7">
        <f>K27*banana!$H50</f>
        <v>0</v>
      </c>
      <c r="L56" s="7">
        <f>L27*banana!$H50</f>
        <v>0</v>
      </c>
      <c r="M56" s="7">
        <f>M27*banana!$H50</f>
        <v>0</v>
      </c>
      <c r="N56" s="7">
        <f>N27*banana!$H50</f>
        <v>0</v>
      </c>
      <c r="O56" s="7">
        <f>O27*banana!$H50</f>
        <v>0</v>
      </c>
    </row>
    <row r="57" spans="2:15" x14ac:dyDescent="0.55000000000000004">
      <c r="B57" s="10" t="str">
        <f t="shared" si="3"/>
        <v>V100</v>
      </c>
      <c r="D57" s="7">
        <f>D29*banana!$H51</f>
        <v>0</v>
      </c>
      <c r="E57" s="7">
        <f>E29*banana!$H51</f>
        <v>0</v>
      </c>
      <c r="F57" s="7">
        <f>F29*banana!$H51</f>
        <v>0</v>
      </c>
      <c r="G57" s="7">
        <f>G29*banana!$H51</f>
        <v>0</v>
      </c>
      <c r="H57" s="7">
        <f>H29*banana!$H51</f>
        <v>0</v>
      </c>
      <c r="I57" s="7">
        <f>I29*banana!$H51</f>
        <v>0</v>
      </c>
      <c r="J57" s="7">
        <f>J29*banana!$H51</f>
        <v>0</v>
      </c>
      <c r="K57" s="7">
        <f>K29*banana!$H51</f>
        <v>0</v>
      </c>
      <c r="L57" s="7">
        <f>L29*banana!$H51</f>
        <v>0</v>
      </c>
      <c r="M57" s="7">
        <f>M29*banana!$H51</f>
        <v>0</v>
      </c>
      <c r="N57" s="7">
        <f>N29*banana!$H51</f>
        <v>0</v>
      </c>
      <c r="O57" s="7">
        <f>O29*banana!$H51</f>
        <v>0</v>
      </c>
    </row>
    <row r="58" spans="2:15" x14ac:dyDescent="0.55000000000000004">
      <c r="B58" s="10" t="str">
        <f t="shared" si="3"/>
        <v>A100</v>
      </c>
      <c r="D58" s="7">
        <f>D31*banana!$H52</f>
        <v>0</v>
      </c>
      <c r="E58" s="7">
        <f>E31*banana!$H52</f>
        <v>0</v>
      </c>
      <c r="F58" s="7">
        <f>F31*banana!$H52</f>
        <v>0</v>
      </c>
      <c r="G58" s="7">
        <f>G31*banana!$H52</f>
        <v>0</v>
      </c>
      <c r="H58" s="7">
        <f>H31*banana!$H52</f>
        <v>0</v>
      </c>
      <c r="I58" s="7">
        <f>I31*banana!$H52</f>
        <v>0</v>
      </c>
      <c r="J58" s="7">
        <f>J31*banana!$H52</f>
        <v>0</v>
      </c>
      <c r="K58" s="7">
        <f>K31*banana!$H52</f>
        <v>0</v>
      </c>
      <c r="L58" s="7">
        <f>L31*banana!$H52</f>
        <v>0</v>
      </c>
      <c r="M58" s="7">
        <f>M31*banana!$H52</f>
        <v>0</v>
      </c>
      <c r="N58" s="7">
        <f>N31*banana!$H52</f>
        <v>0</v>
      </c>
      <c r="O58" s="7">
        <f>O31*banana!$H52</f>
        <v>0</v>
      </c>
    </row>
    <row r="59" spans="2:15" x14ac:dyDescent="0.55000000000000004">
      <c r="B59" s="10" t="str">
        <f t="shared" si="3"/>
        <v>H100</v>
      </c>
      <c r="D59" s="7">
        <f>D33*banana!$H53</f>
        <v>0</v>
      </c>
      <c r="E59" s="7">
        <f>E33*banana!$H53</f>
        <v>0</v>
      </c>
      <c r="F59" s="7">
        <f>F33*banana!$H53</f>
        <v>0</v>
      </c>
      <c r="G59" s="7">
        <f>G33*banana!$H53</f>
        <v>0</v>
      </c>
      <c r="H59" s="7">
        <f>H33*banana!$H53</f>
        <v>0</v>
      </c>
      <c r="I59" s="7">
        <f>I33*banana!$H53</f>
        <v>0</v>
      </c>
      <c r="J59" s="7">
        <f>J33*banana!$H53</f>
        <v>0</v>
      </c>
      <c r="K59" s="7">
        <f>K33*banana!$H53</f>
        <v>0</v>
      </c>
      <c r="L59" s="7">
        <f>L33*banana!$H53</f>
        <v>0</v>
      </c>
      <c r="M59" s="7">
        <f>M33*banana!$H53</f>
        <v>0</v>
      </c>
      <c r="N59" s="7">
        <f>N33*banana!$H53</f>
        <v>0</v>
      </c>
      <c r="O59" s="7">
        <f>O33*banana!$H53</f>
        <v>0</v>
      </c>
    </row>
    <row r="60" spans="2:15" x14ac:dyDescent="0.55000000000000004">
      <c r="B60" s="10" t="str">
        <f t="shared" ref="B60" si="4">B47</f>
        <v>ホーム Disk</v>
      </c>
      <c r="D60" s="7">
        <f>D35*banana!$H54</f>
        <v>0</v>
      </c>
      <c r="E60" s="7">
        <f>E35*banana!$H54</f>
        <v>0</v>
      </c>
      <c r="F60" s="7">
        <f>F35*banana!$H54</f>
        <v>0</v>
      </c>
      <c r="G60" s="7">
        <f>G35*banana!$H54</f>
        <v>0</v>
      </c>
      <c r="H60" s="7">
        <f>H35*banana!$H54</f>
        <v>0</v>
      </c>
      <c r="I60" s="7">
        <f>I35*banana!$H54</f>
        <v>0</v>
      </c>
      <c r="J60" s="7">
        <f>J35*banana!$H54</f>
        <v>0</v>
      </c>
      <c r="K60" s="7">
        <f>K35*banana!$H54</f>
        <v>0</v>
      </c>
      <c r="L60" s="7">
        <f>L35*banana!$H54</f>
        <v>0</v>
      </c>
      <c r="M60" s="7">
        <f>M35*banana!$H54</f>
        <v>0</v>
      </c>
      <c r="N60" s="7">
        <f>N35*banana!$H54</f>
        <v>0</v>
      </c>
      <c r="O60" s="7">
        <f>O35*banana!$H54</f>
        <v>0</v>
      </c>
    </row>
    <row r="61" spans="2:15" x14ac:dyDescent="0.55000000000000004">
      <c r="B61" s="10" t="str">
        <f>B49</f>
        <v>アーカイブ Disk 容量 (TiB)</v>
      </c>
      <c r="D61" s="7">
        <f>D37*banana!$H55</f>
        <v>0</v>
      </c>
      <c r="E61" s="7">
        <f>E37*banana!$H55</f>
        <v>0</v>
      </c>
      <c r="F61" s="7">
        <f>F37*banana!$H55</f>
        <v>0</v>
      </c>
      <c r="G61" s="7">
        <f>G37*banana!$H55</f>
        <v>0</v>
      </c>
      <c r="H61" s="7">
        <f>H37*banana!$H55</f>
        <v>0</v>
      </c>
      <c r="I61" s="7">
        <f>I37*banana!$H55</f>
        <v>0</v>
      </c>
      <c r="J61" s="7">
        <f>J37*banana!$H55</f>
        <v>0</v>
      </c>
      <c r="K61" s="7">
        <f>K37*banana!$H55</f>
        <v>0</v>
      </c>
      <c r="L61" s="7">
        <f>L37*banana!$H55</f>
        <v>0</v>
      </c>
      <c r="M61" s="7">
        <f>M37*banana!$H55</f>
        <v>0</v>
      </c>
      <c r="N61" s="7">
        <f>N37*banana!$H55</f>
        <v>0</v>
      </c>
      <c r="O61" s="7">
        <f>O37*banana!$H55</f>
        <v>0</v>
      </c>
    </row>
    <row r="62" spans="2:15" x14ac:dyDescent="0.55000000000000004">
      <c r="B62" s="10" t="str">
        <f>IF(L,"サポートポイント【SP】","Support Points (SP)")</f>
        <v>サポートポイント【SP】</v>
      </c>
      <c r="D62" s="8">
        <f>IF(banana!H62,'Input sheet 4'!$C13*banana!$A$112,0)</f>
        <v>0</v>
      </c>
      <c r="E62" s="8">
        <f>IF(banana!I62,'Input sheet 4'!$C13*banana!$A$112,0)</f>
        <v>0</v>
      </c>
      <c r="F62" s="8">
        <f>IF(banana!J62,'Input sheet 4'!$C13*banana!$A$112,0)</f>
        <v>0</v>
      </c>
      <c r="G62" s="8">
        <f>IF(banana!K62,'Input sheet 4'!$C13*banana!$A$112,0)</f>
        <v>0</v>
      </c>
      <c r="H62" s="8">
        <f>IF(banana!L62,'Input sheet 4'!$C13*banana!$A$112,0)</f>
        <v>0</v>
      </c>
      <c r="I62" s="8">
        <f>IF(banana!M62,'Input sheet 4'!$C13*banana!$A$112,0)</f>
        <v>0</v>
      </c>
      <c r="J62" s="8">
        <f>IF(banana!N62,'Input sheet 4'!$C13*banana!$A$112,0)</f>
        <v>0</v>
      </c>
      <c r="K62" s="8">
        <f>IF(banana!O62,'Input sheet 4'!$C13*banana!$A$112,0)</f>
        <v>0</v>
      </c>
      <c r="L62" s="8">
        <f>IF(banana!P62,'Input sheet 4'!$C13*banana!$A$112,0)</f>
        <v>0</v>
      </c>
      <c r="M62" s="8">
        <f>IF(banana!E62,'Input sheet 4'!$C13*banana!$A$112,0)</f>
        <v>0</v>
      </c>
      <c r="N62" s="8">
        <f>IF(banana!F62,'Input sheet 4'!$C13*banana!$A$112,0)</f>
        <v>0</v>
      </c>
      <c r="O62" s="8">
        <f>IF(banana!G62,'Input sheet 4'!$C13*banana!$A$112,0)</f>
        <v>0</v>
      </c>
    </row>
    <row r="63" spans="2:15" x14ac:dyDescent="0.55000000000000004">
      <c r="B63" s="230" t="e">
        <f>banana!F221</f>
        <v>#N/A</v>
      </c>
      <c r="C63" s="230"/>
      <c r="D63" s="230"/>
      <c r="E63" s="230"/>
      <c r="F63" s="230"/>
      <c r="G63" s="230"/>
      <c r="H63" s="230"/>
      <c r="I63" s="230"/>
      <c r="J63" s="230"/>
      <c r="K63" s="230"/>
      <c r="L63" s="230"/>
      <c r="M63" s="230"/>
      <c r="N63" s="230"/>
      <c r="O63" s="230"/>
    </row>
    <row r="64" spans="2:15" x14ac:dyDescent="0.55000000000000004">
      <c r="B64" s="5" t="str">
        <f>IF(L,"参考利用料金 (合計)","Usage fee (total)")</f>
        <v>参考利用料金 (合計)</v>
      </c>
      <c r="C64" s="5"/>
      <c r="D64" s="229">
        <f>SUM(D52:O52)</f>
        <v>0</v>
      </c>
      <c r="E64" s="229"/>
      <c r="F64" t="str">
        <f>IF(L,"（税込）","tax included")</f>
        <v>（税込）</v>
      </c>
      <c r="H64" t="str">
        <f>IF(L,"この表示金額は、利用期間を考えず、このシートに入力されたそのままの内容です。","This displayed amount is calculated by inputting to this sheet without considering the use period.")</f>
        <v>この表示金額は、利用期間を考えず、このシートに入力されたそのままの内容です。</v>
      </c>
    </row>
    <row r="65" spans="1:8" x14ac:dyDescent="0.55000000000000004">
      <c r="B65" s="5" t="e">
        <f>IF(D64&lt;&gt;banana!$Q$179,IF(L,"開始希望月 ("&amp;B8&amp;") から終了希望月 ("&amp;B13&amp;") までの "&amp;banana!B63&amp;"か月間の利用料金 (合計) は "&amp;TEXT(banana!$Q$179,"#,##0")&amp;" 円です。","Usage fee (total) for the "&amp;banana!B63&amp;" months from the Starting month ("&amp;B8&amp;") to the Ending month ("&amp;B13&amp;") is "&amp;TEXT(banana!$Q$179,"#,##0")&amp;" Yen."),"")</f>
        <v>#N/A</v>
      </c>
    </row>
    <row r="66" spans="1:8" x14ac:dyDescent="0.55000000000000004">
      <c r="B66" s="195" t="str">
        <f ca="1">banana!J34</f>
        <v/>
      </c>
    </row>
    <row r="67" spans="1:8" ht="22.5" x14ac:dyDescent="0.55000000000000004">
      <c r="A67" s="212" t="str">
        <f>IF(L,"続けて入力シート 4 を記入してください","Please enter Input sheet 4 in succession.")</f>
        <v>続けて入力シート 4 を記入してください</v>
      </c>
      <c r="B67" s="212"/>
      <c r="C67" s="212"/>
      <c r="D67" s="212"/>
      <c r="E67" s="212"/>
      <c r="F67" s="212"/>
      <c r="G67" s="212"/>
      <c r="H67" s="212"/>
    </row>
    <row r="144" spans="1:1" ht="22.5" x14ac:dyDescent="0.55000000000000004">
      <c r="A144" s="2" t="str">
        <f>IF(L,"続けて入力シート 4 を記入してください。","Please enter Input sheet 4 in succession.")</f>
        <v>続けて入力シート 4 を記入してください。</v>
      </c>
    </row>
  </sheetData>
  <sheetProtection sheet="1" objects="1" scenarios="1"/>
  <mergeCells count="15">
    <mergeCell ref="K1:L1"/>
    <mergeCell ref="A1:B1"/>
    <mergeCell ref="A67:H67"/>
    <mergeCell ref="B8:C8"/>
    <mergeCell ref="B13:C13"/>
    <mergeCell ref="C1:D1"/>
    <mergeCell ref="E1:F1"/>
    <mergeCell ref="G1:H1"/>
    <mergeCell ref="I1:J1"/>
    <mergeCell ref="B47:B48"/>
    <mergeCell ref="D64:E64"/>
    <mergeCell ref="E8:F8"/>
    <mergeCell ref="B50:O50"/>
    <mergeCell ref="B63:O63"/>
    <mergeCell ref="G11:O12"/>
  </mergeCells>
  <phoneticPr fontId="2"/>
  <hyperlinks>
    <hyperlink ref="A67" location="'Input sheet 4'!A1" display="'Input sheet 4'!A1"/>
    <hyperlink ref="E1" location="'Input sheet 2'!A1" display="Input Sheet 2"/>
    <hyperlink ref="I1" location="'Input sheet 4'!A1" display="Input Sheet 4"/>
    <hyperlink ref="K1" location="'Application sheet'!A1" display="Application Sheet"/>
    <hyperlink ref="A1" location="Notes!A1" display="Notes"/>
    <hyperlink ref="C1" location="'Input sheet 1'!A1" display="Input Sheet 1"/>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5">
        <x14:dataValidation type="list" allowBlank="1" showInputMessage="1" showErrorMessage="1">
          <x14:formula1>
            <xm:f>banana!$E$59:$P$59</xm:f>
          </x14:formula1>
          <xm:sqref>B8:C8</xm:sqref>
        </x14:dataValidation>
        <x14:dataValidation type="list" allowBlank="1" showInputMessage="1" showErrorMessage="1">
          <x14:formula1>
            <xm:f>banana!$E$37:$E$46</xm:f>
          </x14:formula1>
          <xm:sqref>D21:O21</xm:sqref>
        </x14:dataValidation>
        <x14:dataValidation type="list" allowBlank="1" showInputMessage="1" showErrorMessage="1">
          <x14:formula1>
            <xm:f>banana!$E$59:$P$59</xm:f>
          </x14:formula1>
          <xm:sqref>B13:C13</xm:sqref>
        </x14:dataValidation>
        <x14:dataValidation type="list" allowBlank="1" showInputMessage="1" showErrorMessage="1">
          <x14:formula1>
            <xm:f>banana!$A$34:$A$35</xm:f>
          </x14:formula1>
          <xm:sqref>E8:F8</xm:sqref>
        </x14:dataValidation>
        <x14:dataValidation type="whole" operator="lessThanOrEqual" allowBlank="1" showInputMessage="1" showErrorMessage="1">
          <x14:formula1>
            <xm:f>banana!$I55</xm:f>
          </x14:formula1>
          <xm:sqref>D37:O37</xm:sqref>
        </x14:dataValidation>
        <x14:dataValidation type="whole" operator="lessThanOrEqual" allowBlank="1" showInputMessage="1" showErrorMessage="1">
          <x14:formula1>
            <xm:f>banana!$I54</xm:f>
          </x14:formula1>
          <xm:sqref>D35:O35</xm:sqref>
        </x14:dataValidation>
        <x14:dataValidation type="whole" operator="lessThanOrEqual" allowBlank="1" showInputMessage="1" showErrorMessage="1">
          <x14:formula1>
            <xm:f>banana!I54</xm:f>
          </x14:formula1>
          <xm:sqref>G31</xm:sqref>
        </x14:dataValidation>
        <x14:dataValidation type="whole" operator="lessThanOrEqual" allowBlank="1" showInputMessage="1" showErrorMessage="1">
          <x14:formula1>
            <xm:f>banana!I51</xm:f>
          </x14:formula1>
          <xm:sqref>D29</xm:sqref>
        </x14:dataValidation>
        <x14:dataValidation type="whole" operator="lessThanOrEqual" allowBlank="1" showInputMessage="1" showErrorMessage="1">
          <x14:formula1>
            <xm:f>banana!I52</xm:f>
          </x14:formula1>
          <xm:sqref>D31</xm:sqref>
        </x14:dataValidation>
        <x14:dataValidation type="whole" operator="lessThanOrEqual" allowBlank="1" showInputMessage="1" showErrorMessage="1">
          <x14:formula1>
            <xm:f>banana!$I50</xm:f>
          </x14:formula1>
          <xm:sqref>D27:O27</xm:sqref>
        </x14:dataValidation>
        <x14:dataValidation type="whole" operator="lessThanOrEqual" allowBlank="1" showInputMessage="1" showErrorMessage="1">
          <x14:formula1>
            <xm:f>banana!$I49</xm:f>
          </x14:formula1>
          <xm:sqref>D25:O25</xm:sqref>
        </x14:dataValidation>
        <x14:dataValidation type="whole" operator="lessThanOrEqual" allowBlank="1" showInputMessage="1" showErrorMessage="1">
          <x14:formula1>
            <xm:f>banana!$I48</xm:f>
          </x14:formula1>
          <xm:sqref>D23:O23</xm:sqref>
        </x14:dataValidation>
        <x14:dataValidation type="whole" operator="lessThanOrEqual" allowBlank="1" showInputMessage="1" showErrorMessage="1">
          <x14:formula1>
            <xm:f>banana!I51</xm:f>
          </x14:formula1>
          <xm:sqref>E29</xm:sqref>
        </x14:dataValidation>
        <x14:dataValidation type="whole" operator="lessThanOrEqual" allowBlank="1" showInputMessage="1" showErrorMessage="1">
          <x14:formula1>
            <xm:f>banana!I52</xm:f>
          </x14:formula1>
          <xm:sqref>E31</xm:sqref>
        </x14:dataValidation>
        <x14:dataValidation type="whole" operator="lessThanOrEqual" allowBlank="1" showInputMessage="1" showErrorMessage="1">
          <x14:formula1>
            <xm:f>banana!I51</xm:f>
          </x14:formula1>
          <xm:sqref>F29</xm:sqref>
        </x14:dataValidation>
        <x14:dataValidation type="whole" operator="lessThanOrEqual" allowBlank="1" showInputMessage="1" showErrorMessage="1">
          <x14:formula1>
            <xm:f>banana!I52</xm:f>
          </x14:formula1>
          <xm:sqref>F31</xm:sqref>
        </x14:dataValidation>
        <x14:dataValidation type="whole" operator="lessThanOrEqual" allowBlank="1" showInputMessage="1" showErrorMessage="1">
          <x14:formula1>
            <xm:f>banana!I51</xm:f>
          </x14:formula1>
          <xm:sqref>G29</xm:sqref>
        </x14:dataValidation>
        <x14:dataValidation type="whole" operator="lessThanOrEqual" allowBlank="1" showInputMessage="1" showErrorMessage="1">
          <x14:formula1>
            <xm:f>banana!I51</xm:f>
          </x14:formula1>
          <xm:sqref>H29</xm:sqref>
        </x14:dataValidation>
        <x14:dataValidation type="whole" operator="lessThanOrEqual" allowBlank="1" showInputMessage="1" showErrorMessage="1">
          <x14:formula1>
            <xm:f>banana!I52</xm:f>
          </x14:formula1>
          <xm:sqref>H31</xm:sqref>
        </x14:dataValidation>
        <x14:dataValidation type="whole" operator="lessThanOrEqual" allowBlank="1" showInputMessage="1" showErrorMessage="1">
          <x14:formula1>
            <xm:f>banana!I51</xm:f>
          </x14:formula1>
          <xm:sqref>I29</xm:sqref>
        </x14:dataValidation>
        <x14:dataValidation type="whole" operator="lessThanOrEqual" allowBlank="1" showInputMessage="1" showErrorMessage="1">
          <x14:formula1>
            <xm:f>banana!I52</xm:f>
          </x14:formula1>
          <xm:sqref>I31</xm:sqref>
        </x14:dataValidation>
        <x14:dataValidation type="whole" operator="lessThanOrEqual" allowBlank="1" showInputMessage="1" showErrorMessage="1">
          <x14:formula1>
            <xm:f>banana!I51</xm:f>
          </x14:formula1>
          <xm:sqref>J29</xm:sqref>
        </x14:dataValidation>
        <x14:dataValidation type="whole" operator="lessThanOrEqual" allowBlank="1" showInputMessage="1" showErrorMessage="1">
          <x14:formula1>
            <xm:f>banana!I52</xm:f>
          </x14:formula1>
          <xm:sqref>J31</xm:sqref>
        </x14:dataValidation>
        <x14:dataValidation type="whole" operator="lessThanOrEqual" allowBlank="1" showInputMessage="1" showErrorMessage="1">
          <x14:formula1>
            <xm:f>banana!I51</xm:f>
          </x14:formula1>
          <xm:sqref>K29</xm:sqref>
        </x14:dataValidation>
        <x14:dataValidation type="whole" operator="lessThanOrEqual" allowBlank="1" showInputMessage="1" showErrorMessage="1">
          <x14:formula1>
            <xm:f>banana!I52</xm:f>
          </x14:formula1>
          <xm:sqref>K31</xm:sqref>
        </x14:dataValidation>
        <x14:dataValidation type="whole" operator="lessThanOrEqual" allowBlank="1" showInputMessage="1" showErrorMessage="1">
          <x14:formula1>
            <xm:f>banana!I51</xm:f>
          </x14:formula1>
          <xm:sqref>L29</xm:sqref>
        </x14:dataValidation>
        <x14:dataValidation type="whole" operator="lessThanOrEqual" allowBlank="1" showInputMessage="1" showErrorMessage="1">
          <x14:formula1>
            <xm:f>banana!I52</xm:f>
          </x14:formula1>
          <xm:sqref>L31</xm:sqref>
        </x14:dataValidation>
        <x14:dataValidation type="whole" operator="lessThanOrEqual" allowBlank="1" showInputMessage="1" showErrorMessage="1">
          <x14:formula1>
            <xm:f>banana!I51</xm:f>
          </x14:formula1>
          <xm:sqref>M29</xm:sqref>
        </x14:dataValidation>
        <x14:dataValidation type="whole" operator="lessThanOrEqual" allowBlank="1" showInputMessage="1" showErrorMessage="1">
          <x14:formula1>
            <xm:f>banana!I52</xm:f>
          </x14:formula1>
          <xm:sqref>M31</xm:sqref>
        </x14:dataValidation>
        <x14:dataValidation type="whole" operator="lessThanOrEqual" allowBlank="1" showInputMessage="1" showErrorMessage="1">
          <x14:formula1>
            <xm:f>banana!I51</xm:f>
          </x14:formula1>
          <xm:sqref>N29</xm:sqref>
        </x14:dataValidation>
        <x14:dataValidation type="whole" operator="lessThanOrEqual" allowBlank="1" showInputMessage="1" showErrorMessage="1">
          <x14:formula1>
            <xm:f>banana!I52</xm:f>
          </x14:formula1>
          <xm:sqref>N31</xm:sqref>
        </x14:dataValidation>
        <x14:dataValidation type="whole" operator="lessThanOrEqual" allowBlank="1" showInputMessage="1" showErrorMessage="1">
          <x14:formula1>
            <xm:f>banana!I51</xm:f>
          </x14:formula1>
          <xm:sqref>O29</xm:sqref>
        </x14:dataValidation>
        <x14:dataValidation type="whole" operator="lessThanOrEqual" allowBlank="1" showInputMessage="1" showErrorMessage="1">
          <x14:formula1>
            <xm:f>banana!I52</xm:f>
          </x14:formula1>
          <xm:sqref>O31</xm:sqref>
        </x14:dataValidation>
        <x14:dataValidation type="whole" operator="lessThanOrEqual" allowBlank="1" showInputMessage="1" showErrorMessage="1">
          <x14:formula1>
            <xm:f>banana!I53</xm:f>
          </x14:formula1>
          <xm:sqref>D33</xm:sqref>
        </x14:dataValidation>
        <x14:dataValidation type="whole" operator="lessThanOrEqual" allowBlank="1" showInputMessage="1" showErrorMessage="1">
          <x14:formula1>
            <xm:f>banana!I53</xm:f>
          </x14:formula1>
          <xm:sqref>E33</xm:sqref>
        </x14:dataValidation>
        <x14:dataValidation type="whole" operator="lessThanOrEqual" allowBlank="1" showInputMessage="1" showErrorMessage="1">
          <x14:formula1>
            <xm:f>banana!I53</xm:f>
          </x14:formula1>
          <xm:sqref>F33</xm:sqref>
        </x14:dataValidation>
        <x14:dataValidation type="whole" operator="lessThanOrEqual" allowBlank="1" showInputMessage="1" showErrorMessage="1">
          <x14:formula1>
            <xm:f>banana!I53</xm:f>
          </x14:formula1>
          <xm:sqref>G33</xm:sqref>
        </x14:dataValidation>
        <x14:dataValidation type="whole" operator="lessThanOrEqual" allowBlank="1" showInputMessage="1" showErrorMessage="1">
          <x14:formula1>
            <xm:f>banana!I53</xm:f>
          </x14:formula1>
          <xm:sqref>H33</xm:sqref>
        </x14:dataValidation>
        <x14:dataValidation type="whole" operator="lessThanOrEqual" allowBlank="1" showInputMessage="1" showErrorMessage="1">
          <x14:formula1>
            <xm:f>banana!I53</xm:f>
          </x14:formula1>
          <xm:sqref>I33</xm:sqref>
        </x14:dataValidation>
        <x14:dataValidation type="whole" operator="lessThanOrEqual" allowBlank="1" showInputMessage="1" showErrorMessage="1">
          <x14:formula1>
            <xm:f>banana!I53</xm:f>
          </x14:formula1>
          <xm:sqref>J33</xm:sqref>
        </x14:dataValidation>
        <x14:dataValidation type="whole" operator="lessThanOrEqual" allowBlank="1" showInputMessage="1" showErrorMessage="1">
          <x14:formula1>
            <xm:f>banana!I53</xm:f>
          </x14:formula1>
          <xm:sqref>K33</xm:sqref>
        </x14:dataValidation>
        <x14:dataValidation type="whole" operator="lessThanOrEqual" allowBlank="1" showInputMessage="1" showErrorMessage="1">
          <x14:formula1>
            <xm:f>banana!I53</xm:f>
          </x14:formula1>
          <xm:sqref>L33</xm:sqref>
        </x14:dataValidation>
        <x14:dataValidation type="whole" operator="lessThanOrEqual" allowBlank="1" showInputMessage="1" showErrorMessage="1">
          <x14:formula1>
            <xm:f>banana!I53</xm:f>
          </x14:formula1>
          <xm:sqref>M33</xm:sqref>
        </x14:dataValidation>
        <x14:dataValidation type="whole" operator="lessThanOrEqual" allowBlank="1" showInputMessage="1" showErrorMessage="1">
          <x14:formula1>
            <xm:f>banana!I53</xm:f>
          </x14:formula1>
          <xm:sqref>N33</xm:sqref>
        </x14:dataValidation>
        <x14:dataValidation type="whole" operator="lessThanOrEqual" allowBlank="1" showInputMessage="1" showErrorMessage="1">
          <x14:formula1>
            <xm:f>banana!I53</xm:f>
          </x14:formula1>
          <xm:sqref>O33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64"/>
  <sheetViews>
    <sheetView workbookViewId="0">
      <pane ySplit="1" topLeftCell="A2" activePane="bottomLeft" state="frozen"/>
      <selection activeCell="L8" sqref="L8"/>
      <selection pane="bottomLeft" activeCell="I1" sqref="I1:J1"/>
    </sheetView>
  </sheetViews>
  <sheetFormatPr defaultRowHeight="18" x14ac:dyDescent="0.55000000000000004"/>
  <cols>
    <col min="2" max="2" width="8.58203125" customWidth="1"/>
  </cols>
  <sheetData>
    <row r="1" spans="1:14" x14ac:dyDescent="0.55000000000000004">
      <c r="A1" s="206" t="s">
        <v>23</v>
      </c>
      <c r="B1" s="206"/>
      <c r="C1" s="206" t="s">
        <v>18</v>
      </c>
      <c r="D1" s="206"/>
      <c r="E1" s="206" t="s">
        <v>19</v>
      </c>
      <c r="F1" s="206"/>
      <c r="G1" s="206" t="s">
        <v>20</v>
      </c>
      <c r="H1" s="206"/>
      <c r="I1" s="210" t="s">
        <v>21</v>
      </c>
      <c r="J1" s="210"/>
      <c r="K1" s="206" t="s">
        <v>22</v>
      </c>
      <c r="L1" s="206"/>
    </row>
    <row r="2" spans="1:14" x14ac:dyDescent="0.55000000000000004">
      <c r="B2" t="str">
        <f>banana!C1</f>
        <v>東京大学医科学研究所ヒトゲノム解析センター計算機システム</v>
      </c>
    </row>
    <row r="3" spans="1:14" ht="22.5" x14ac:dyDescent="0.55000000000000004">
      <c r="B3" s="2" t="str">
        <f>IF(L,"入力シート (4/4) SHIROKANE "&amp;banana!$G$18&amp;"利用申請書","Input sheet (4/4) for Application for SHIROKANE "&amp;banana!$G$18&amp;" Use")</f>
        <v>入力シート (4/4) SHIROKANE 利用申請書</v>
      </c>
    </row>
    <row r="4" spans="1:14" x14ac:dyDescent="0.55000000000000004">
      <c r="B4" t="str">
        <f>IF(L,"このシートは、技術支援サービスをお申込の場合に記入してください。","Please fill this sheet to apply for technical support service.")</f>
        <v>このシートは、技術支援サービスをお申込の場合に記入してください。</v>
      </c>
    </row>
    <row r="5" spans="1:14" x14ac:dyDescent="0.55000000000000004">
      <c r="B5" s="195" t="str">
        <f ca="1">banana!J34</f>
        <v/>
      </c>
    </row>
    <row r="6" spans="1:14" ht="22.5" x14ac:dyDescent="0.55000000000000004">
      <c r="B6" s="2" t="str">
        <f>IF(L,"技術支援サービス","Technical support services")</f>
        <v>技術支援サービス</v>
      </c>
    </row>
    <row r="7" spans="1:14" ht="115.5" customHeight="1" x14ac:dyDescent="0.55000000000000004">
      <c r="B7" s="205" t="str">
        <f>IF(L,CONCATENATE("技術支援サービスはサポートポイント【SP】制になっています。このフォームで必要な【SP】、料金の見積り、技術支援サービスの申し込みができます。
お持ちの【SP】数、購入希望口数 (",TEXT(banana!$A$112,"#,###")," 円/口) を入力後、保有【SP】 (未使用【SP】+購入【SP】) 内で、ご希望の技術支援サービスを選択ください。
※購入した【SP】は購入年度のみ有効です。"),CONCATENATE("The technical support service operates by a support point (SP) system. With this form, you can apply for necessary SP, get a fee estimate, and apply for the technical support service. First enter your available SP and the number of units (",TEXT(banana!$A$112,"#,###")," yen/unit) that you wish to purchase. Then select the technical support service you would like, using SP up to the number in your possession (unused SP + purchased SP). *SP are only valid for the year in which they were purchased."))</f>
        <v>技術支援サービスはサポートポイント【SP】制になっています。このフォームで必要な【SP】、料金の見積り、技術支援サービスの申し込みができます。
お持ちの【SP】数、購入希望口数 (5,000 円/口) を入力後、保有【SP】 (未使用【SP】+購入【SP】) 内で、ご希望の技術支援サービスを選択ください。
※購入した【SP】は購入年度のみ有効です。</v>
      </c>
      <c r="C7" s="205"/>
      <c r="D7" s="205"/>
      <c r="E7" s="205"/>
      <c r="F7" s="205"/>
      <c r="G7" s="205"/>
      <c r="H7" s="205"/>
      <c r="I7" s="205"/>
      <c r="J7" s="205"/>
      <c r="K7" s="205"/>
      <c r="L7" s="205"/>
      <c r="M7" s="205"/>
      <c r="N7" s="205"/>
    </row>
    <row r="8" spans="1:14" x14ac:dyDescent="0.55000000000000004">
      <c r="B8" t="str">
        <f>IF(L,"サポートポイント【SP】は 1【SP】を１口としてご購入ください。","You may purchase support points (SP) in blocks (units) of 1.")</f>
        <v>サポートポイント【SP】は 1【SP】を１口としてご購入ください。</v>
      </c>
    </row>
    <row r="9" spans="1:14" x14ac:dyDescent="0.55000000000000004">
      <c r="B9" t="str">
        <f>CONCATENATE(IF(L,"１口あたり 1【SP】 ","One unit (1 SP) is "), TEXT(banana!A112,"#,###"),IF(L," 円"," yen."))</f>
        <v>１口あたり 1【SP】 5,000 円</v>
      </c>
    </row>
    <row r="11" spans="1:14" ht="22.5" x14ac:dyDescent="0.55000000000000004">
      <c r="C11" s="2" t="str">
        <f>IF(L,"購入口数","Units to purchase")</f>
        <v>購入口数</v>
      </c>
    </row>
    <row r="12" spans="1:14" ht="18.5" thickBot="1" x14ac:dyDescent="0.6"/>
    <row r="13" spans="1:14" ht="27" thickBot="1" x14ac:dyDescent="0.6">
      <c r="C13" s="131"/>
      <c r="E13" t="str">
        <f>IF(L,"必要【SP】数: ","Total number of required SP: ") &amp; banana!A114</f>
        <v>必要【SP】数: 0</v>
      </c>
    </row>
    <row r="16" spans="1:14" ht="22.5" x14ac:dyDescent="0.55000000000000004">
      <c r="C16" s="2" t="str">
        <f>IF(L,"デリバリーライン Disk サービス","Delivery line disk service")</f>
        <v>デリバリーライン Disk サービス</v>
      </c>
    </row>
    <row r="18" spans="3:14" ht="22.5" x14ac:dyDescent="0.55000000000000004">
      <c r="C18" s="2" t="str">
        <f>IF(L,"持込 Disk 接続 (リードオンリー)","Portable disk connection (read only)")</f>
        <v>持込 Disk 接続 (リードオンリー)</v>
      </c>
    </row>
    <row r="19" spans="3:14" ht="18.5" thickBot="1" x14ac:dyDescent="0.6">
      <c r="C19">
        <v>0</v>
      </c>
      <c r="D19" t="str">
        <f>IF(L,"利用に必要な【SP】","Necessary SP")</f>
        <v>利用に必要な【SP】</v>
      </c>
      <c r="G19" s="232" t="str">
        <f>IF(L,"持込んだ外付けディスク (容量: 10 TB まで) を SHIROKANE にリードオンリーで、最大 2 週間まで接続するサービスです。※SHIROKANE 上のデータを外付けディスクにコピーすることはできません。","This is a service in which an external disk brought in by the user (size: up to 10 TB) can be connected to the SHIROKANE (read only) for up to two weeks. *Data on the SHIROKANE cannot be copied onto the external disk.")</f>
        <v>持込んだ外付けディスク (容量: 10 TB まで) を SHIROKANE にリードオンリーで、最大 2 週間まで接続するサービスです。※SHIROKANE 上のデータを外付けディスクにコピーすることはできません。</v>
      </c>
      <c r="H19" s="232"/>
      <c r="I19" s="232"/>
      <c r="J19" s="232"/>
      <c r="K19" s="232"/>
      <c r="L19" s="232"/>
      <c r="M19" s="232"/>
      <c r="N19" s="232"/>
    </row>
    <row r="20" spans="3:14" ht="27" thickBot="1" x14ac:dyDescent="0.6">
      <c r="C20" s="133"/>
      <c r="D20">
        <f>C19*C20</f>
        <v>0</v>
      </c>
      <c r="G20" s="232"/>
      <c r="H20" s="232"/>
      <c r="I20" s="232"/>
      <c r="J20" s="232"/>
      <c r="K20" s="232"/>
      <c r="L20" s="232"/>
      <c r="M20" s="232"/>
      <c r="N20" s="232"/>
    </row>
    <row r="21" spans="3:14" x14ac:dyDescent="0.55000000000000004">
      <c r="G21" s="232"/>
      <c r="H21" s="232"/>
      <c r="I21" s="232"/>
      <c r="J21" s="232"/>
      <c r="K21" s="232"/>
      <c r="L21" s="232"/>
      <c r="M21" s="232"/>
      <c r="N21" s="232"/>
    </row>
    <row r="23" spans="3:14" ht="22.5" x14ac:dyDescent="0.55000000000000004">
      <c r="C23" s="2" t="str">
        <f>IF(L,"持込 Disk 接続 (フルアクセス)","Portable disk connection (full access)")</f>
        <v>持込 Disk 接続 (フルアクセス)</v>
      </c>
    </row>
    <row r="24" spans="3:14" ht="18.5" thickBot="1" x14ac:dyDescent="0.6">
      <c r="C24">
        <v>4</v>
      </c>
      <c r="D24" t="str">
        <f>IF(L,"利用に必要な【SP】","Necessary SP")</f>
        <v>利用に必要な【SP】</v>
      </c>
      <c r="G24" s="232" t="str">
        <f>IF(L,"ユーザが持込んだ外付けディスク (容量：10 TB まで) をユーザのホームディレクトリ領域にフルアクセスで、最大 2 週間まで接続します。SHIROKANE 上のデータを外付けディスクにコピーすることができます。USB 2.0 のディスクと一般的な NAS が接続できます。その他接続方法については別途ご相談ください。","The user can bring in an external disk (size: up to 10 TB) and connect it for up to two weeks, with full access to his or her home directory."&amp;" The user can copy data from the SHIROKANE to the external disk. USB 2.0 disks and standard NAS disks can be used. Details on how to connect a disk are available separately.")</f>
        <v>ユーザが持込んだ外付けディスク (容量：10 TB まで) をユーザのホームディレクトリ領域にフルアクセスで、最大 2 週間まで接続します。SHIROKANE 上のデータを外付けディスクにコピーすることができます。USB 2.0 のディスクと一般的な NAS が接続できます。その他接続方法については別途ご相談ください。</v>
      </c>
      <c r="H24" s="232"/>
      <c r="I24" s="232"/>
      <c r="J24" s="232"/>
      <c r="K24" s="232"/>
      <c r="L24" s="232"/>
      <c r="M24" s="232"/>
      <c r="N24" s="232"/>
    </row>
    <row r="25" spans="3:14" ht="27" thickBot="1" x14ac:dyDescent="0.6">
      <c r="C25" s="131"/>
      <c r="D25">
        <f>C24*C25</f>
        <v>0</v>
      </c>
      <c r="G25" s="232"/>
      <c r="H25" s="232"/>
      <c r="I25" s="232"/>
      <c r="J25" s="232"/>
      <c r="K25" s="232"/>
      <c r="L25" s="232"/>
      <c r="M25" s="232"/>
      <c r="N25" s="232"/>
    </row>
    <row r="26" spans="3:14" ht="45" customHeight="1" x14ac:dyDescent="0.55000000000000004">
      <c r="G26" s="232"/>
      <c r="H26" s="232"/>
      <c r="I26" s="232"/>
      <c r="J26" s="232"/>
      <c r="K26" s="232"/>
      <c r="L26" s="232"/>
      <c r="M26" s="232"/>
      <c r="N26" s="232"/>
    </row>
    <row r="28" spans="3:14" ht="22.5" x14ac:dyDescent="0.55000000000000004">
      <c r="C28" s="2" t="str">
        <f>IF(L,"Disk 送付 (スタンダード)","Disk delivery service (standard)")</f>
        <v>Disk 送付 (スタンダード)</v>
      </c>
    </row>
    <row r="29" spans="3:14" ht="18.5" thickBot="1" x14ac:dyDescent="0.6">
      <c r="C29">
        <v>1</v>
      </c>
      <c r="D29" t="str">
        <f>IF(L,"利用に必要な【SP】","Necessary SP")</f>
        <v>利用に必要な【SP】</v>
      </c>
      <c r="G29" s="232" t="str">
        <f>IF(L,"宅配便でディスク装置を送付します。","The disk is delivered to the user via parcel delivery service.")</f>
        <v>宅配便でディスク装置を送付します。</v>
      </c>
      <c r="H29" s="232"/>
      <c r="I29" s="232"/>
      <c r="J29" s="232"/>
      <c r="K29" s="232"/>
      <c r="L29" s="232"/>
      <c r="M29" s="232"/>
      <c r="N29" s="232"/>
    </row>
    <row r="30" spans="3:14" ht="27" thickBot="1" x14ac:dyDescent="0.6">
      <c r="C30" s="131"/>
      <c r="D30">
        <f>C29*C30</f>
        <v>0</v>
      </c>
      <c r="G30" s="232"/>
      <c r="H30" s="232"/>
      <c r="I30" s="232"/>
      <c r="J30" s="232"/>
      <c r="K30" s="232"/>
      <c r="L30" s="232"/>
      <c r="M30" s="232"/>
      <c r="N30" s="232"/>
    </row>
    <row r="31" spans="3:14" x14ac:dyDescent="0.55000000000000004">
      <c r="G31" s="232"/>
      <c r="H31" s="232"/>
      <c r="I31" s="232"/>
      <c r="J31" s="232"/>
      <c r="K31" s="232"/>
      <c r="L31" s="232"/>
      <c r="M31" s="232"/>
      <c r="N31" s="232"/>
    </row>
    <row r="33" spans="3:14" ht="22.5" x14ac:dyDescent="0.55000000000000004">
      <c r="C33" s="2" t="str">
        <f>IF(L,"Disk 送付 (プレミアム)","Disk delivery service (premium)")</f>
        <v>Disk 送付 (プレミアム)</v>
      </c>
    </row>
    <row r="34" spans="3:14" ht="18.5" thickBot="1" x14ac:dyDescent="0.6">
      <c r="C34">
        <v>2</v>
      </c>
      <c r="D34" t="str">
        <f>IF(L,"利用に必要な【SP】","Necessary SP")</f>
        <v>利用に必要な【SP】</v>
      </c>
      <c r="G34" s="232" t="str">
        <f>IF(L,"精密機器専門輸送サービスで送付します。","The disk is delivered to the user via a transport service specializing in sensitive equipment.")</f>
        <v>精密機器専門輸送サービスで送付します。</v>
      </c>
      <c r="H34" s="232"/>
      <c r="I34" s="232"/>
      <c r="J34" s="232"/>
      <c r="K34" s="232"/>
      <c r="L34" s="232"/>
      <c r="M34" s="232"/>
      <c r="N34" s="232"/>
    </row>
    <row r="35" spans="3:14" ht="27" thickBot="1" x14ac:dyDescent="0.6">
      <c r="C35" s="131"/>
      <c r="D35">
        <f>C34*C35</f>
        <v>0</v>
      </c>
      <c r="G35" s="232"/>
      <c r="H35" s="232"/>
      <c r="I35" s="232"/>
      <c r="J35" s="232"/>
      <c r="K35" s="232"/>
      <c r="L35" s="232"/>
      <c r="M35" s="232"/>
      <c r="N35" s="232"/>
    </row>
    <row r="36" spans="3:14" x14ac:dyDescent="0.55000000000000004">
      <c r="G36" s="232"/>
      <c r="H36" s="232"/>
      <c r="I36" s="232"/>
      <c r="J36" s="232"/>
      <c r="K36" s="232"/>
      <c r="L36" s="232"/>
      <c r="M36" s="232"/>
      <c r="N36" s="232"/>
    </row>
    <row r="38" spans="3:14" ht="22.5" x14ac:dyDescent="0.55000000000000004">
      <c r="C38" s="2" t="str">
        <f>IF(L,"大規模並列ジョブ用短期専有","Short term application for massively parallel job execution")</f>
        <v>大規模並列ジョブ用短期専有</v>
      </c>
    </row>
    <row r="39" spans="3:14" ht="18.5" thickBot="1" x14ac:dyDescent="0.6">
      <c r="C39">
        <v>10</v>
      </c>
      <c r="D39" t="str">
        <f>IF(L,"利用に必要な【SP】","Necessary SP")</f>
        <v>利用に必要な【SP】</v>
      </c>
      <c r="G39" s="232" t="str">
        <f>IF(L,"180 並列を超える MPI ジョブを実行いただけます。事前に HGC スパコンライセンス認定試験に合格している必要があります。 ※ 1 申込みで、ジョブは 1 日間有効です。","Users can execute MPI jobs that exceed 180 threads in parallel. Users must first pass the HGC Supercomputer License Certification Exam. * Through this application, the job is valid for one day.")</f>
        <v>180 並列を超える MPI ジョブを実行いただけます。事前に HGC スパコンライセンス認定試験に合格している必要があります。 ※ 1 申込みで、ジョブは 1 日間有効です。</v>
      </c>
      <c r="H39" s="232"/>
      <c r="I39" s="232"/>
      <c r="J39" s="232"/>
      <c r="K39" s="232"/>
      <c r="L39" s="232"/>
      <c r="M39" s="232"/>
      <c r="N39" s="232"/>
    </row>
    <row r="40" spans="3:14" ht="27" thickBot="1" x14ac:dyDescent="0.6">
      <c r="C40" s="131"/>
      <c r="D40">
        <f>C39*C40</f>
        <v>0</v>
      </c>
      <c r="G40" s="232"/>
      <c r="H40" s="232"/>
      <c r="I40" s="232"/>
      <c r="J40" s="232"/>
      <c r="K40" s="232"/>
      <c r="L40" s="232"/>
      <c r="M40" s="232"/>
      <c r="N40" s="232"/>
    </row>
    <row r="41" spans="3:14" x14ac:dyDescent="0.55000000000000004">
      <c r="G41" s="232"/>
      <c r="H41" s="232"/>
      <c r="I41" s="232"/>
      <c r="J41" s="232"/>
      <c r="K41" s="232"/>
      <c r="L41" s="232"/>
      <c r="M41" s="232"/>
      <c r="N41" s="232"/>
    </row>
    <row r="43" spans="3:14" ht="22.5" x14ac:dyDescent="0.55000000000000004">
      <c r="C43" s="2" t="str">
        <f>IF(L,"セキュリティパック","Security pack")</f>
        <v>セキュリティパック</v>
      </c>
    </row>
    <row r="44" spans="3:14" ht="18.5" thickBot="1" x14ac:dyDescent="0.6">
      <c r="C44">
        <v>20</v>
      </c>
      <c r="D44" t="str">
        <f>IF(L,"利用に必要な【SP】","Necessary SP")</f>
        <v>利用に必要な【SP】</v>
      </c>
      <c r="G44" s="232" t="str">
        <f>IF(L,"SSH ログイン状況モニター (ホワイトリスト登録サービス)","SSH login monitor (white list registration service)")&amp;": "
&amp;IF(L,"ユーザアカウントに対しての SSH 接続の履歴をメールで毎日送付します。また、ホームディレクトリに設定したホワイトリストを参照し、利用ユーザアカウントを制限することが可能です。","We will send daily e-mails to the applicant's user account with SSH connection history. The user can also define permitted user accounts, referring to the white list set in his or her home directory.")&amp;"
"&amp;IF(L,"ファイルアクセス権限モニター","File access permissions monitor")&amp;": "
&amp;IF(L,"週に 1 度、ホームディレクトリ領域にある group, other にビットが付与されているファイルリストをメールで送付します。","We will send a weekly e-mail with a list of files in the users home directory that have a permission bit set for group or other.")</f>
        <v>SSH ログイン状況モニター (ホワイトリスト登録サービス): ユーザアカウントに対しての SSH 接続の履歴をメールで毎日送付します。また、ホームディレクトリに設定したホワイトリストを参照し、利用ユーザアカウントを制限することが可能です。
ファイルアクセス権限モニター: 週に 1 度、ホームディレクトリ領域にある group, other にビットが付与されているファイルリストをメールで送付します。</v>
      </c>
      <c r="H44" s="232"/>
      <c r="I44" s="232"/>
      <c r="J44" s="232"/>
      <c r="K44" s="232"/>
      <c r="L44" s="232"/>
      <c r="M44" s="232"/>
      <c r="N44" s="232"/>
    </row>
    <row r="45" spans="3:14" ht="27" thickBot="1" x14ac:dyDescent="0.6">
      <c r="C45" s="131"/>
      <c r="D45">
        <f>C44*C45</f>
        <v>0</v>
      </c>
      <c r="G45" s="232"/>
      <c r="H45" s="232"/>
      <c r="I45" s="232"/>
      <c r="J45" s="232"/>
      <c r="K45" s="232"/>
      <c r="L45" s="232"/>
      <c r="M45" s="232"/>
      <c r="N45" s="232"/>
    </row>
    <row r="46" spans="3:14" ht="66.75" customHeight="1" x14ac:dyDescent="0.55000000000000004">
      <c r="G46" s="232"/>
      <c r="H46" s="232"/>
      <c r="I46" s="232"/>
      <c r="J46" s="232"/>
      <c r="K46" s="232"/>
      <c r="L46" s="232"/>
      <c r="M46" s="232"/>
      <c r="N46" s="232"/>
    </row>
    <row r="48" spans="3:14" ht="22.5" x14ac:dyDescent="0.55000000000000004">
      <c r="C48" s="2" t="str">
        <f>IF(L,"ハードディスク破壊","Hard disk destruction")</f>
        <v>ハードディスク破壊</v>
      </c>
    </row>
    <row r="49" spans="1:14" ht="18.5" thickBot="1" x14ac:dyDescent="0.6">
      <c r="C49">
        <v>1</v>
      </c>
      <c r="D49" t="str">
        <f>IF(L,"利用に必要な【SP】","Necessary SP")</f>
        <v>利用に必要な【SP】</v>
      </c>
      <c r="G49" s="232" t="str">
        <f>IF(L,"ユーザが持ち込んだ外付けディスクのデータ消去のため、HGC の磁気照射型のハードディスククラッシャーによってディスクを破壊します。破壊したディスクはデータが消えるだけでなく、動作しなくなります。","Users can bring in external disks to have the data erased. The disk is destroyed using a degausser type hard disk crusher. All data is erased from the disk, and the disk can no longer be used.")</f>
        <v>ユーザが持ち込んだ外付けディスクのデータ消去のため、HGC の磁気照射型のハードディスククラッシャーによってディスクを破壊します。破壊したディスクはデータが消えるだけでなく、動作しなくなります。</v>
      </c>
      <c r="H49" s="232"/>
      <c r="I49" s="232"/>
      <c r="J49" s="232"/>
      <c r="K49" s="232"/>
      <c r="L49" s="232"/>
      <c r="M49" s="232"/>
      <c r="N49" s="232"/>
    </row>
    <row r="50" spans="1:14" ht="27" thickBot="1" x14ac:dyDescent="0.6">
      <c r="C50" s="131"/>
      <c r="D50">
        <f>C49*C50</f>
        <v>0</v>
      </c>
      <c r="G50" s="232"/>
      <c r="H50" s="232"/>
      <c r="I50" s="232"/>
      <c r="J50" s="232"/>
      <c r="K50" s="232"/>
      <c r="L50" s="232"/>
      <c r="M50" s="232"/>
      <c r="N50" s="232"/>
    </row>
    <row r="51" spans="1:14" x14ac:dyDescent="0.55000000000000004">
      <c r="G51" s="232"/>
      <c r="H51" s="232"/>
      <c r="I51" s="232"/>
      <c r="J51" s="232"/>
      <c r="K51" s="232"/>
      <c r="L51" s="232"/>
      <c r="M51" s="232"/>
      <c r="N51" s="232"/>
    </row>
    <row r="53" spans="1:14" ht="22.5" x14ac:dyDescent="0.55000000000000004">
      <c r="C53" s="2" t="str">
        <f>IF(L,"ソフトウェアインストール","Software installation")</f>
        <v>ソフトウェアインストール</v>
      </c>
    </row>
    <row r="54" spans="1:14" ht="18.5" thickBot="1" x14ac:dyDescent="0.6">
      <c r="C54">
        <v>0</v>
      </c>
      <c r="D54" t="str">
        <f>IF(L,"利用に必要な【SP】","Necessary SP")</f>
        <v>利用に必要な【SP】</v>
      </c>
      <c r="G54" s="232" t="str">
        <f>IF(L,"ご希望のソフトウェアをインストールするサービスです。※ソフトウェアによっては、完了までに長期間のお時間をいただくことや、インストールできずお断りする場合があります。","A service for installing requested software.
 *Depending on the software, we may require a long time to complete installation, and we may be unable to install to it and therefore deny the request.")</f>
        <v>ご希望のソフトウェアをインストールするサービスです。※ソフトウェアによっては、完了までに長期間のお時間をいただくことや、インストールできずお断りする場合があります。</v>
      </c>
      <c r="H54" s="232"/>
      <c r="I54" s="232"/>
      <c r="J54" s="232"/>
      <c r="K54" s="232"/>
      <c r="L54" s="232"/>
      <c r="M54" s="232"/>
      <c r="N54" s="232"/>
    </row>
    <row r="55" spans="1:14" ht="27" thickBot="1" x14ac:dyDescent="0.6">
      <c r="C55" s="133"/>
      <c r="D55">
        <f>C54*C55</f>
        <v>0</v>
      </c>
      <c r="G55" s="232"/>
      <c r="H55" s="232"/>
      <c r="I55" s="232"/>
      <c r="J55" s="232"/>
      <c r="K55" s="232"/>
      <c r="L55" s="232"/>
      <c r="M55" s="232"/>
      <c r="N55" s="232"/>
    </row>
    <row r="56" spans="1:14" x14ac:dyDescent="0.55000000000000004">
      <c r="G56" s="232"/>
      <c r="H56" s="232"/>
      <c r="I56" s="232"/>
      <c r="J56" s="232"/>
      <c r="K56" s="232"/>
      <c r="L56" s="232"/>
      <c r="M56" s="232"/>
      <c r="N56" s="232"/>
    </row>
    <row r="58" spans="1:14" ht="22.5" x14ac:dyDescent="0.55000000000000004">
      <c r="C58" s="2" t="str">
        <f>IF(L,"ソフトウェア優先インストール","Software priority installation")</f>
        <v>ソフトウェア優先インストール</v>
      </c>
    </row>
    <row r="59" spans="1:14" ht="18.5" thickBot="1" x14ac:dyDescent="0.6">
      <c r="C59">
        <v>10</v>
      </c>
      <c r="D59" t="str">
        <f>IF(L,"利用に必要な【SP】","Necessary SP")</f>
        <v>利用に必要な【SP】</v>
      </c>
      <c r="G59" s="232" t="str">
        <f>IF(L,"通常のソフトウェアインストールは、1 か月程度お時間をいただくこともございます。本サービスをお申込みいただければ、優先的に専門のエンジニアがインストール作業を行います。 ※ソフトウェアによっては、完了までに長期間のお時間をいただくことや、インストールできずお断りする場合があります。","Users must sometimes wait a month for normal software installation. However, if users apply for this service, they will be given priority for installation of the software by a specialist engineer."&amp;" *Depending on the software, we may require a long time to complete installation, and we may be unable to install to it and therefore deny the request.")</f>
        <v>通常のソフトウェアインストールは、1 か月程度お時間をいただくこともございます。本サービスをお申込みいただければ、優先的に専門のエンジニアがインストール作業を行います。 ※ソフトウェアによっては、完了までに長期間のお時間をいただくことや、インストールできずお断りする場合があります。</v>
      </c>
      <c r="H59" s="232"/>
      <c r="I59" s="232"/>
      <c r="J59" s="232"/>
      <c r="K59" s="232"/>
      <c r="L59" s="232"/>
      <c r="M59" s="232"/>
      <c r="N59" s="232"/>
    </row>
    <row r="60" spans="1:14" ht="27" thickBot="1" x14ac:dyDescent="0.6">
      <c r="C60" s="131"/>
      <c r="D60">
        <f>C59*C60</f>
        <v>0</v>
      </c>
      <c r="G60" s="232"/>
      <c r="H60" s="232"/>
      <c r="I60" s="232"/>
      <c r="J60" s="232"/>
      <c r="K60" s="232"/>
      <c r="L60" s="232"/>
      <c r="M60" s="232"/>
      <c r="N60" s="232"/>
    </row>
    <row r="61" spans="1:14" ht="47.25" customHeight="1" x14ac:dyDescent="0.55000000000000004">
      <c r="G61" s="232"/>
      <c r="H61" s="232"/>
      <c r="I61" s="232"/>
      <c r="J61" s="232"/>
      <c r="K61" s="232"/>
      <c r="L61" s="232"/>
      <c r="M61" s="232"/>
      <c r="N61" s="232"/>
    </row>
    <row r="63" spans="1:14" x14ac:dyDescent="0.55000000000000004">
      <c r="B63" s="195" t="str">
        <f ca="1">banana!J34</f>
        <v/>
      </c>
    </row>
    <row r="64" spans="1:14" ht="22.5" x14ac:dyDescent="0.55000000000000004">
      <c r="A64" s="204" t="str">
        <f>IF(L,"Application シートで記入内容を確認し、この Excel ファイルをメールで support@hgc.jp へ提出してください","Please review on the Application sheet and submit this Excel file via email to support@hgc.jp.")</f>
        <v>Application シートで記入内容を確認し、この Excel ファイルをメールで support@hgc.jp へ提出してください</v>
      </c>
      <c r="B64" s="204"/>
      <c r="C64" s="204"/>
      <c r="D64" s="204"/>
      <c r="E64" s="204"/>
      <c r="F64" s="204"/>
      <c r="G64" s="204"/>
      <c r="H64" s="204"/>
      <c r="I64" s="203"/>
      <c r="J64" s="203"/>
      <c r="K64" s="203"/>
      <c r="L64" s="203"/>
      <c r="M64" s="203"/>
      <c r="N64" s="203"/>
    </row>
  </sheetData>
  <sheetProtection sheet="1" objects="1" scenarios="1"/>
  <mergeCells count="16">
    <mergeCell ref="G54:N56"/>
    <mergeCell ref="G59:N61"/>
    <mergeCell ref="K1:L1"/>
    <mergeCell ref="A1:B1"/>
    <mergeCell ref="B7:N7"/>
    <mergeCell ref="G29:N31"/>
    <mergeCell ref="G34:N36"/>
    <mergeCell ref="G39:N41"/>
    <mergeCell ref="G44:N46"/>
    <mergeCell ref="G49:N51"/>
    <mergeCell ref="G19:N21"/>
    <mergeCell ref="G24:N26"/>
    <mergeCell ref="C1:D1"/>
    <mergeCell ref="E1:F1"/>
    <mergeCell ref="G1:H1"/>
    <mergeCell ref="I1:J1"/>
  </mergeCells>
  <phoneticPr fontId="2"/>
  <hyperlinks>
    <hyperlink ref="A64" location="'Application sheet'!A1" display="'Application sheet'!A1"/>
    <hyperlink ref="E1" location="'Input sheet 2'!A1" display="Input Sheet 2"/>
    <hyperlink ref="G1" location="'Input sheet 3'!A1" display="Input Sheet 3"/>
    <hyperlink ref="K1" location="'Application sheet'!A1" display="Application Sheet"/>
    <hyperlink ref="A1" location="Notes!A1" display="Notes"/>
    <hyperlink ref="C1" location="'Input sheet 1'!A1" display="Input Sheet 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O102"/>
  <sheetViews>
    <sheetView view="pageBreakPreview" zoomScale="115" zoomScaleNormal="145" zoomScaleSheetLayoutView="115" workbookViewId="0">
      <pane ySplit="1" topLeftCell="A2" activePane="bottomLeft" state="frozen"/>
      <selection activeCell="L8" sqref="L8"/>
      <selection pane="bottomLeft" sqref="A1:D1"/>
    </sheetView>
  </sheetViews>
  <sheetFormatPr defaultRowHeight="18" x14ac:dyDescent="0.55000000000000004"/>
  <cols>
    <col min="1" max="1" width="0.5" customWidth="1"/>
    <col min="2" max="3" width="4.25" customWidth="1"/>
    <col min="5" max="5" width="9" customWidth="1"/>
    <col min="9" max="9" width="9" customWidth="1"/>
    <col min="11" max="11" width="9" customWidth="1"/>
    <col min="12" max="12" width="7.75" customWidth="1"/>
    <col min="13" max="13" width="1.25" customWidth="1"/>
  </cols>
  <sheetData>
    <row r="1" spans="1:15" x14ac:dyDescent="0.55000000000000004">
      <c r="A1" s="206" t="s">
        <v>23</v>
      </c>
      <c r="B1" s="206"/>
      <c r="C1" s="206"/>
      <c r="D1" s="206"/>
      <c r="E1" s="198" t="s">
        <v>18</v>
      </c>
      <c r="F1" s="198"/>
      <c r="G1" s="206" t="s">
        <v>19</v>
      </c>
      <c r="H1" s="206"/>
      <c r="I1" s="206" t="s">
        <v>20</v>
      </c>
      <c r="J1" s="206"/>
      <c r="K1" s="206" t="s">
        <v>21</v>
      </c>
      <c r="L1" s="206"/>
      <c r="M1" s="210" t="s">
        <v>22</v>
      </c>
      <c r="N1" s="210"/>
      <c r="O1" s="210"/>
    </row>
    <row r="2" spans="1:15" ht="18" customHeight="1" x14ac:dyDescent="0.55000000000000004">
      <c r="B2" s="13"/>
      <c r="C2" s="310" t="str">
        <f>IF(L,banana!C1&amp;" SHIROKANE "&amp;banana!G18&amp;APPSEC&amp;"申請書","Application for "&amp;banana!C3&amp;" SHIROKANE "&amp;banana!G18&amp;" "&amp;APPSEC)</f>
        <v>東京大学医科学研究所ヒトゲノム解析センター計算機システム SHIROKANE 申請書</v>
      </c>
      <c r="D2" s="310"/>
      <c r="E2" s="310"/>
      <c r="F2" s="310"/>
      <c r="G2" s="310"/>
      <c r="H2" s="310"/>
      <c r="I2" s="310"/>
      <c r="J2" s="310"/>
      <c r="K2" s="310"/>
      <c r="L2" s="310"/>
      <c r="M2" s="68"/>
    </row>
    <row r="3" spans="1:15" ht="14.15" customHeight="1" x14ac:dyDescent="0.55000000000000004">
      <c r="C3" s="197" t="str">
        <f ca="1">banana!J34</f>
        <v/>
      </c>
      <c r="J3" s="313">
        <f>APPDATE</f>
        <v>0</v>
      </c>
      <c r="K3" s="313"/>
      <c r="L3" s="313"/>
      <c r="M3" s="74"/>
    </row>
    <row r="4" spans="1:15" x14ac:dyDescent="0.55000000000000004">
      <c r="B4" s="29"/>
      <c r="C4" s="73" t="str">
        <f>IF(L,banana!A2&amp;"長殿","Attn: Director of "&amp;banana!B2)</f>
        <v>東京大学医科学研究所ヒトゲノム解析センター長殿</v>
      </c>
      <c r="D4" s="29"/>
      <c r="E4" s="29"/>
      <c r="F4" s="29"/>
      <c r="G4" s="29"/>
      <c r="H4" s="29"/>
      <c r="I4" s="29"/>
      <c r="J4" s="29"/>
      <c r="K4" s="29"/>
      <c r="L4" s="29"/>
      <c r="M4" s="29"/>
    </row>
    <row r="5" spans="1:15" ht="16.5" customHeight="1" x14ac:dyDescent="0.55000000000000004">
      <c r="B5" s="15"/>
      <c r="C5" s="15" t="str">
        <f>IF(AND(banana!D8,banana!D11),"☑ ","□ ")</f>
        <v xml:space="preserve">□ </v>
      </c>
      <c r="D5" s="314" t="str">
        <f>IF(L,"貴センターのスーパーコンピュータシステムの"&amp;APPSEC&amp;"について申請します。"&amp;IF(banana!D14,"利用にあたっては貴センターの利用規程を熟読し、遵守します。",""),"I apply to use the Supercomputer System of the Center."&amp;IF(banana!D14," I have read and agree to the terms of use.",""))</f>
        <v>貴センターのスーパーコンピュータシステムのについて申請します。</v>
      </c>
      <c r="E5" s="314"/>
      <c r="F5" s="314"/>
      <c r="G5" s="314"/>
      <c r="H5" s="314"/>
      <c r="I5" s="314"/>
      <c r="J5" s="314"/>
      <c r="K5" s="314"/>
      <c r="L5" s="314"/>
      <c r="M5" s="75"/>
    </row>
    <row r="6" spans="1:15" ht="16.5" customHeight="1" x14ac:dyDescent="0.55000000000000004">
      <c r="B6" s="311" t="str">
        <f>'Input sheet 1'!$B$41</f>
        <v>利用申請情報</v>
      </c>
      <c r="C6" s="312"/>
      <c r="D6" s="53" t="str">
        <f>'Input sheet 1'!$B$28</f>
        <v>申請区分</v>
      </c>
      <c r="E6" s="36">
        <f>'Input sheet 1'!$B$33</f>
        <v>0</v>
      </c>
      <c r="F6" s="36"/>
      <c r="G6" s="26"/>
      <c r="H6" s="48"/>
      <c r="I6" s="56" t="str">
        <f>'Input sheet 1'!$B$36</f>
        <v>申請者区分</v>
      </c>
      <c r="J6" s="36">
        <f>'Input sheet 1'!$B$38</f>
        <v>0</v>
      </c>
      <c r="K6" s="36"/>
      <c r="L6" s="27"/>
      <c r="M6" s="16"/>
    </row>
    <row r="7" spans="1:15" ht="28.5" customHeight="1" x14ac:dyDescent="0.55000000000000004">
      <c r="B7" s="282"/>
      <c r="C7" s="283"/>
      <c r="D7" s="54" t="str">
        <f>'Input sheet 1'!$C$43</f>
        <v>課題名 (英文も可)</v>
      </c>
      <c r="E7" s="306">
        <f>'Input sheet 1'!$C$45</f>
        <v>0</v>
      </c>
      <c r="F7" s="306"/>
      <c r="G7" s="306"/>
      <c r="H7" s="306"/>
      <c r="I7" s="306"/>
      <c r="J7" s="306"/>
      <c r="K7" s="306"/>
      <c r="L7" s="307"/>
      <c r="M7" s="21"/>
    </row>
    <row r="8" spans="1:15" ht="52.5" customHeight="1" x14ac:dyDescent="0.55000000000000004">
      <c r="B8" s="282"/>
      <c r="C8" s="283"/>
      <c r="D8" s="55" t="str">
        <f>'Input sheet 1'!$C$48</f>
        <v>研究課題の内容</v>
      </c>
      <c r="E8" s="308">
        <f>'Input sheet 1'!$C$50</f>
        <v>0</v>
      </c>
      <c r="F8" s="308"/>
      <c r="G8" s="308"/>
      <c r="H8" s="308"/>
      <c r="I8" s="308"/>
      <c r="J8" s="308"/>
      <c r="K8" s="308"/>
      <c r="L8" s="309"/>
      <c r="M8" s="22"/>
    </row>
    <row r="9" spans="1:15" ht="10.5" customHeight="1" x14ac:dyDescent="0.55000000000000004">
      <c r="B9" s="282"/>
      <c r="C9" s="283"/>
      <c r="D9" s="57" t="str">
        <f>'Input sheet 1'!$C$53</f>
        <v>継続して利用するグループ名 (記入は必須)、希望新規グループ名（省略可）</v>
      </c>
      <c r="E9" s="19"/>
      <c r="F9" s="19"/>
      <c r="G9" s="19"/>
      <c r="H9" s="19"/>
      <c r="I9" s="19"/>
      <c r="J9" s="14"/>
      <c r="K9" s="14"/>
      <c r="L9" s="25"/>
      <c r="M9" s="14"/>
    </row>
    <row r="10" spans="1:15" ht="16.5" customHeight="1" x14ac:dyDescent="0.55000000000000004">
      <c r="B10" s="284"/>
      <c r="C10" s="285"/>
      <c r="D10" s="58" t="str">
        <f>'Input sheet 1'!$D$56</f>
        <v>継続して利用するグループ名 (必須)、希望新規グループ名第 1 希望 (Optional)</v>
      </c>
      <c r="E10" s="78">
        <f>'Input sheet 1'!$D$58</f>
        <v>0</v>
      </c>
      <c r="F10" s="37"/>
      <c r="G10" s="58" t="str">
        <f>'Input sheet 1'!$D$61</f>
        <v>第 2 希望</v>
      </c>
      <c r="H10" s="78">
        <f>'Input sheet 1'!$D$63</f>
        <v>0</v>
      </c>
      <c r="I10" s="38"/>
      <c r="J10" s="58" t="str">
        <f>'Input sheet 1'!$D$66</f>
        <v>第 3 希望</v>
      </c>
      <c r="K10" s="78">
        <f>'Input sheet 1'!$D$68</f>
        <v>0</v>
      </c>
      <c r="L10" s="51"/>
      <c r="M10" s="14"/>
    </row>
    <row r="11" spans="1:15" ht="1.5" customHeight="1" x14ac:dyDescent="0.55000000000000004">
      <c r="B11" s="76"/>
      <c r="C11" s="77"/>
      <c r="D11" s="20"/>
      <c r="E11" s="18"/>
      <c r="F11" s="14"/>
      <c r="G11" s="20"/>
      <c r="H11" s="18"/>
      <c r="I11" s="18"/>
      <c r="J11" s="20"/>
      <c r="K11" s="18"/>
      <c r="L11" s="18"/>
      <c r="M11" s="14"/>
    </row>
    <row r="12" spans="1:15" ht="10.5" customHeight="1" x14ac:dyDescent="0.55000000000000004">
      <c r="B12" s="280" t="str">
        <f>'Input sheet 1'!$B$71</f>
        <v>まとめ利用者</v>
      </c>
      <c r="C12" s="281"/>
      <c r="D12" s="59" t="str">
        <f>'Input sheet 1'!$C$75</f>
        <v xml:space="preserve">ユーザ名 </v>
      </c>
      <c r="E12" s="46"/>
      <c r="F12" s="46"/>
      <c r="G12" s="46"/>
      <c r="H12" s="46"/>
      <c r="I12" s="46"/>
      <c r="J12" s="46"/>
      <c r="K12" s="46"/>
      <c r="L12" s="47"/>
      <c r="M12" s="14"/>
    </row>
    <row r="13" spans="1:15" ht="16.5" customHeight="1" x14ac:dyDescent="0.55000000000000004">
      <c r="B13" s="282"/>
      <c r="C13" s="283"/>
      <c r="D13" s="80">
        <f>'Input sheet 1'!$C$77</f>
        <v>0</v>
      </c>
      <c r="E13" s="37"/>
      <c r="F13" s="58" t="str">
        <f>'Input sheet 1'!$D$83</f>
        <v>第 1 希望</v>
      </c>
      <c r="G13" s="79">
        <f>'Input sheet 1'!$D$85</f>
        <v>0</v>
      </c>
      <c r="H13" s="58" t="str">
        <f>'Input sheet 1'!$D$88</f>
        <v>第 2 希望</v>
      </c>
      <c r="I13" s="79">
        <f>'Input sheet 1'!$D$90</f>
        <v>0</v>
      </c>
      <c r="J13" s="58" t="str">
        <f>'Input sheet 1'!$D$93</f>
        <v>第 3 希望</v>
      </c>
      <c r="K13" s="79">
        <f>'Input sheet 1'!$D$95</f>
        <v>0</v>
      </c>
      <c r="L13" s="40"/>
      <c r="M13" s="14"/>
    </row>
    <row r="14" spans="1:15" ht="10.5" customHeight="1" x14ac:dyDescent="0.55000000000000004">
      <c r="B14" s="282"/>
      <c r="C14" s="283"/>
      <c r="D14" s="59" t="str">
        <f>'Input sheet 1'!$C$103</f>
        <v>職名</v>
      </c>
      <c r="E14" s="44"/>
      <c r="F14" s="60" t="str">
        <f>'Input sheet 1'!$C$108</f>
        <v>氏名</v>
      </c>
      <c r="G14" s="14"/>
      <c r="H14" s="44"/>
      <c r="I14" s="17" t="str">
        <f>'Input sheet 1'!$C$113</f>
        <v>ローマ字</v>
      </c>
      <c r="J14" s="14"/>
      <c r="K14" s="14"/>
      <c r="L14" s="25"/>
      <c r="M14" s="14"/>
    </row>
    <row r="15" spans="1:15" ht="16.5" customHeight="1" x14ac:dyDescent="0.55000000000000004">
      <c r="B15" s="282"/>
      <c r="C15" s="283"/>
      <c r="D15" s="302">
        <f>'Input sheet 1'!$C$105</f>
        <v>0</v>
      </c>
      <c r="E15" s="303"/>
      <c r="F15" s="305">
        <f>'Input sheet 1'!$C$110</f>
        <v>0</v>
      </c>
      <c r="G15" s="301"/>
      <c r="H15" s="303"/>
      <c r="I15" s="294">
        <f>'Input sheet 1'!$C$115</f>
        <v>0</v>
      </c>
      <c r="J15" s="295"/>
      <c r="K15" s="295"/>
      <c r="L15" s="296"/>
      <c r="M15" s="14"/>
    </row>
    <row r="16" spans="1:15" ht="10.5" customHeight="1" x14ac:dyDescent="0.55000000000000004">
      <c r="B16" s="282"/>
      <c r="C16" s="283"/>
      <c r="D16" s="61" t="str">
        <f>'Input sheet 1'!$C$98</f>
        <v>国籍</v>
      </c>
      <c r="E16" s="44"/>
      <c r="F16" s="60" t="str">
        <f>'Input sheet 1'!$C$118</f>
        <v>メールアドレス</v>
      </c>
      <c r="G16" s="17"/>
      <c r="H16" s="14"/>
      <c r="I16" s="45"/>
      <c r="J16" s="60" t="str">
        <f>'Input sheet 1'!$C$123</f>
        <v>携帯電話</v>
      </c>
      <c r="K16" s="14"/>
      <c r="L16" s="25"/>
      <c r="M16" s="14"/>
    </row>
    <row r="17" spans="2:13" ht="16.5" customHeight="1" x14ac:dyDescent="0.55000000000000004">
      <c r="B17" s="282"/>
      <c r="C17" s="283"/>
      <c r="D17" s="302">
        <f>'Input sheet 1'!$C$100</f>
        <v>0</v>
      </c>
      <c r="E17" s="303"/>
      <c r="F17" s="292">
        <f>'Input sheet 1'!$C$120</f>
        <v>0</v>
      </c>
      <c r="G17" s="293"/>
      <c r="H17" s="293"/>
      <c r="I17" s="304"/>
      <c r="J17" s="294">
        <f>'Input sheet 1'!$C$125</f>
        <v>0</v>
      </c>
      <c r="K17" s="295"/>
      <c r="L17" s="296"/>
      <c r="M17" s="14"/>
    </row>
    <row r="18" spans="2:13" ht="30" customHeight="1" x14ac:dyDescent="0.55000000000000004">
      <c r="B18" s="282"/>
      <c r="C18" s="283"/>
      <c r="D18" s="62" t="str">
        <f>'Input sheet 1'!$C$128</f>
        <v>所属機関・部署</v>
      </c>
      <c r="E18" s="266">
        <f>'Input sheet 1'!$C$130</f>
        <v>0</v>
      </c>
      <c r="F18" s="266"/>
      <c r="G18" s="266"/>
      <c r="H18" s="266"/>
      <c r="I18" s="266"/>
      <c r="J18" s="266"/>
      <c r="K18" s="266"/>
      <c r="L18" s="267"/>
      <c r="M18" s="14"/>
    </row>
    <row r="19" spans="2:13" x14ac:dyDescent="0.55000000000000004">
      <c r="B19" s="282"/>
      <c r="C19" s="283"/>
      <c r="D19" s="63" t="str">
        <f>'Input sheet 1'!$C$133</f>
        <v>所属部署の郵便番号</v>
      </c>
      <c r="E19" s="41"/>
      <c r="F19" s="42">
        <f>'Input sheet 1'!$C$135</f>
        <v>0</v>
      </c>
      <c r="G19" s="63" t="str">
        <f>'Input sheet 1'!$C$143</f>
        <v>所属部署の電話番号</v>
      </c>
      <c r="H19" s="43"/>
      <c r="I19" s="290">
        <f>'Input sheet 1'!$C$145</f>
        <v>0</v>
      </c>
      <c r="J19" s="298"/>
      <c r="K19" s="62" t="str">
        <f>'Input sheet 1'!$C$148</f>
        <v>東大内線番号</v>
      </c>
      <c r="L19" s="189">
        <f>'Input sheet 1'!$C$151</f>
        <v>0</v>
      </c>
      <c r="M19" s="14"/>
    </row>
    <row r="20" spans="2:13" x14ac:dyDescent="0.55000000000000004">
      <c r="B20" s="284"/>
      <c r="C20" s="285"/>
      <c r="D20" s="62" t="str">
        <f>'Input sheet 1'!$C$138</f>
        <v>所属部署の住所</v>
      </c>
      <c r="E20" s="299">
        <f>'Input sheet 1'!$C$140</f>
        <v>0</v>
      </c>
      <c r="F20" s="299"/>
      <c r="G20" s="299"/>
      <c r="H20" s="299"/>
      <c r="I20" s="299"/>
      <c r="J20" s="299"/>
      <c r="K20" s="299"/>
      <c r="L20" s="300"/>
      <c r="M20" s="14"/>
    </row>
    <row r="21" spans="2:13" ht="1.5" customHeight="1" x14ac:dyDescent="0.55000000000000004">
      <c r="B21" s="76"/>
      <c r="C21" s="77"/>
      <c r="D21" s="49"/>
      <c r="E21" s="50"/>
      <c r="F21" s="43"/>
      <c r="G21" s="49"/>
      <c r="H21" s="50"/>
      <c r="I21" s="50"/>
      <c r="J21" s="49"/>
      <c r="K21" s="50"/>
      <c r="L21" s="50"/>
      <c r="M21" s="14"/>
    </row>
    <row r="22" spans="2:13" ht="10.5" customHeight="1" x14ac:dyDescent="0.55000000000000004">
      <c r="B22" s="280" t="str">
        <f>'Input sheet 1'!$B$154</f>
        <v>研究責任者</v>
      </c>
      <c r="C22" s="281"/>
      <c r="D22" s="60" t="str">
        <f>'Input sheet 1'!$C$162</f>
        <v>職名</v>
      </c>
      <c r="E22" s="18"/>
      <c r="F22" s="61" t="str">
        <f>'Input sheet 1'!$C$167</f>
        <v>氏名</v>
      </c>
      <c r="G22" s="14"/>
      <c r="H22" s="18"/>
      <c r="I22" s="61" t="str">
        <f>'Input sheet 1'!$C$172</f>
        <v>ローマ字</v>
      </c>
      <c r="J22" s="14"/>
      <c r="K22" s="14"/>
      <c r="L22" s="25"/>
      <c r="M22" s="14"/>
    </row>
    <row r="23" spans="2:13" ht="16.5" customHeight="1" x14ac:dyDescent="0.55000000000000004">
      <c r="B23" s="282"/>
      <c r="C23" s="283"/>
      <c r="D23" s="301">
        <f>IF(banana!$D$22,$D$15,'Input sheet 1'!$C$164)</f>
        <v>0</v>
      </c>
      <c r="E23" s="301"/>
      <c r="F23" s="302">
        <f>IF(banana!$D$22,$F$15,'Input sheet 1'!$C$169)</f>
        <v>0</v>
      </c>
      <c r="G23" s="301"/>
      <c r="H23" s="301"/>
      <c r="I23" s="294">
        <f>IF(banana!$D$22,$I$15,'Input sheet 1'!$C$174)</f>
        <v>0</v>
      </c>
      <c r="J23" s="295"/>
      <c r="K23" s="295"/>
      <c r="L23" s="296"/>
      <c r="M23" s="14"/>
    </row>
    <row r="24" spans="2:13" ht="10.5" customHeight="1" x14ac:dyDescent="0.55000000000000004">
      <c r="B24" s="282"/>
      <c r="C24" s="283"/>
      <c r="D24" s="14"/>
      <c r="E24" s="14"/>
      <c r="F24" s="61" t="str">
        <f>'Input sheet 1'!$C$177</f>
        <v>メールアドレス</v>
      </c>
      <c r="G24" s="17"/>
      <c r="H24" s="14"/>
      <c r="I24" s="14"/>
      <c r="J24" s="59" t="str">
        <f>'Input sheet 1'!$C$182</f>
        <v>携帯電話</v>
      </c>
      <c r="K24" s="14"/>
      <c r="L24" s="25"/>
      <c r="M24" s="14"/>
    </row>
    <row r="25" spans="2:13" ht="16.5" customHeight="1" x14ac:dyDescent="0.55000000000000004">
      <c r="B25" s="282"/>
      <c r="C25" s="283"/>
      <c r="D25" s="37"/>
      <c r="E25" s="37"/>
      <c r="F25" s="292">
        <f>IF(banana!$D$22,$F$17,'Input sheet 1'!$C$179)</f>
        <v>0</v>
      </c>
      <c r="G25" s="293"/>
      <c r="H25" s="293"/>
      <c r="I25" s="293"/>
      <c r="J25" s="294">
        <f>IF(banana!$D$22,$J$17,'Input sheet 1'!$C$184)</f>
        <v>0</v>
      </c>
      <c r="K25" s="295"/>
      <c r="L25" s="296"/>
      <c r="M25" s="14"/>
    </row>
    <row r="26" spans="2:13" ht="30" customHeight="1" x14ac:dyDescent="0.55000000000000004">
      <c r="B26" s="282"/>
      <c r="C26" s="283"/>
      <c r="D26" s="64" t="str">
        <f>'Input sheet 1'!$C$187</f>
        <v>所属機関・部署</v>
      </c>
      <c r="E26" s="266">
        <f>IF(banana!$D$22,$E$18,'Input sheet 1'!$C$189)</f>
        <v>0</v>
      </c>
      <c r="F26" s="266"/>
      <c r="G26" s="266"/>
      <c r="H26" s="266"/>
      <c r="I26" s="266"/>
      <c r="J26" s="266"/>
      <c r="K26" s="266"/>
      <c r="L26" s="267"/>
      <c r="M26" s="14"/>
    </row>
    <row r="27" spans="2:13" x14ac:dyDescent="0.55000000000000004">
      <c r="B27" s="282"/>
      <c r="C27" s="283"/>
      <c r="D27" s="64" t="str">
        <f>'Input sheet 1'!$C$192</f>
        <v>所属部署の郵便番号</v>
      </c>
      <c r="E27" s="17"/>
      <c r="F27" s="23">
        <f>IF(banana!$D$22,$F$19,'Input sheet 1'!$C$194)</f>
        <v>0</v>
      </c>
      <c r="G27" s="62" t="str">
        <f>'Input sheet 1'!$C$202</f>
        <v>所属部署の電話番号</v>
      </c>
      <c r="H27" s="14"/>
      <c r="I27" s="297">
        <f>IF(banana!$D$22,$I$19,'Input sheet 1'!$C$204)</f>
        <v>0</v>
      </c>
      <c r="J27" s="297"/>
      <c r="K27" s="63" t="str">
        <f>'Input sheet 1'!$C$207</f>
        <v>東大内線番号</v>
      </c>
      <c r="L27" s="188">
        <f>IF(banana!$D$22,$L$19,'Input sheet 1'!$C$210)</f>
        <v>0</v>
      </c>
      <c r="M27" s="14"/>
    </row>
    <row r="28" spans="2:13" x14ac:dyDescent="0.55000000000000004">
      <c r="B28" s="284"/>
      <c r="C28" s="285"/>
      <c r="D28" s="64" t="str">
        <f>'Input sheet 1'!$C$197</f>
        <v>所属部署の住所</v>
      </c>
      <c r="E28" s="290">
        <f>IF(banana!$D$22,$E$20,'Input sheet 1'!$C$199)</f>
        <v>0</v>
      </c>
      <c r="F28" s="290"/>
      <c r="G28" s="290"/>
      <c r="H28" s="290"/>
      <c r="I28" s="290"/>
      <c r="J28" s="290"/>
      <c r="K28" s="290"/>
      <c r="L28" s="291"/>
      <c r="M28" s="14"/>
    </row>
    <row r="29" spans="2:13" ht="1.5" customHeight="1" x14ac:dyDescent="0.55000000000000004">
      <c r="B29" s="76"/>
      <c r="C29" s="77"/>
      <c r="D29" s="49"/>
      <c r="E29" s="50"/>
      <c r="F29" s="43"/>
      <c r="G29" s="49"/>
      <c r="H29" s="50"/>
      <c r="I29" s="50"/>
      <c r="J29" s="49"/>
      <c r="K29" s="50"/>
      <c r="L29" s="50"/>
      <c r="M29" s="14"/>
    </row>
    <row r="30" spans="2:13" ht="11.25" customHeight="1" x14ac:dyDescent="0.55000000000000004">
      <c r="B30" s="280" t="str">
        <f>'Input sheet 2'!$B$6</f>
        <v>経理責任者</v>
      </c>
      <c r="C30" s="281"/>
      <c r="D30" s="60" t="str">
        <f>'Input sheet 2'!$C$8</f>
        <v>職名</v>
      </c>
      <c r="E30" s="45"/>
      <c r="F30" s="60" t="str">
        <f>'Input sheet 2'!$C$13</f>
        <v>氏名</v>
      </c>
      <c r="G30" s="14"/>
      <c r="H30" s="44"/>
      <c r="I30" s="60" t="str">
        <f>'Input sheet 2'!$C$18</f>
        <v>フリガナ</v>
      </c>
      <c r="J30" s="14"/>
      <c r="K30" s="14"/>
      <c r="L30" s="25"/>
      <c r="M30" s="14"/>
    </row>
    <row r="31" spans="2:13" ht="16.5" customHeight="1" x14ac:dyDescent="0.55000000000000004">
      <c r="B31" s="282"/>
      <c r="C31" s="283"/>
      <c r="D31" s="262">
        <f>'Input sheet 2'!$C$10</f>
        <v>0</v>
      </c>
      <c r="E31" s="263"/>
      <c r="F31" s="264">
        <f>'Input sheet 2'!$C$15</f>
        <v>0</v>
      </c>
      <c r="G31" s="262"/>
      <c r="H31" s="263"/>
      <c r="I31" s="264">
        <f>'Input sheet 2'!$C$20</f>
        <v>0</v>
      </c>
      <c r="J31" s="262"/>
      <c r="K31" s="262"/>
      <c r="L31" s="265"/>
      <c r="M31" s="14"/>
    </row>
    <row r="32" spans="2:13" ht="30" customHeight="1" x14ac:dyDescent="0.55000000000000004">
      <c r="B32" s="282"/>
      <c r="C32" s="283"/>
      <c r="D32" s="60" t="str">
        <f>'Input sheet 2'!$C$23</f>
        <v>所属機関・部署</v>
      </c>
      <c r="E32" s="286">
        <f>'Input sheet 2'!$C$25</f>
        <v>0</v>
      </c>
      <c r="F32" s="286"/>
      <c r="G32" s="286"/>
      <c r="H32" s="286"/>
      <c r="I32" s="286"/>
      <c r="J32" s="286"/>
      <c r="K32" s="286"/>
      <c r="L32" s="287"/>
      <c r="M32" s="14"/>
    </row>
    <row r="33" spans="2:13" x14ac:dyDescent="0.55000000000000004">
      <c r="B33" s="282"/>
      <c r="C33" s="283"/>
      <c r="D33" s="54" t="str">
        <f>'Input sheet 2'!$C$28</f>
        <v>所属部署の郵便番号</v>
      </c>
      <c r="E33" s="37"/>
      <c r="F33" s="70">
        <f>'Input sheet 2'!$C$30</f>
        <v>0</v>
      </c>
      <c r="G33" s="62" t="str">
        <f>'Input sheet 2'!$C$38</f>
        <v>所属部署の電話番号</v>
      </c>
      <c r="H33" s="37"/>
      <c r="I33" s="69">
        <f>'Input sheet 2'!$C$40</f>
        <v>0</v>
      </c>
      <c r="J33" s="39"/>
      <c r="K33" s="62" t="str">
        <f>'Input sheet 2'!$C$43</f>
        <v>東大内線番号</v>
      </c>
      <c r="L33" s="71">
        <f>'Input sheet 2'!$C$46</f>
        <v>0</v>
      </c>
      <c r="M33" s="14"/>
    </row>
    <row r="34" spans="2:13" x14ac:dyDescent="0.55000000000000004">
      <c r="B34" s="284"/>
      <c r="C34" s="285"/>
      <c r="D34" s="54" t="str">
        <f>'Input sheet 2'!$C$33</f>
        <v>所属部署の住所</v>
      </c>
      <c r="E34" s="288">
        <f>'Input sheet 2'!$C$35</f>
        <v>0</v>
      </c>
      <c r="F34" s="288"/>
      <c r="G34" s="288"/>
      <c r="H34" s="288"/>
      <c r="I34" s="288"/>
      <c r="J34" s="288"/>
      <c r="K34" s="288"/>
      <c r="L34" s="289"/>
      <c r="M34" s="14"/>
    </row>
    <row r="35" spans="2:13" ht="1.5" customHeight="1" x14ac:dyDescent="0.55000000000000004">
      <c r="B35" s="76"/>
      <c r="C35" s="77"/>
      <c r="D35" s="49"/>
      <c r="E35" s="50"/>
      <c r="F35" s="43"/>
      <c r="G35" s="49"/>
      <c r="H35" s="50"/>
      <c r="I35" s="50"/>
      <c r="J35" s="49"/>
      <c r="K35" s="50"/>
      <c r="L35" s="50"/>
      <c r="M35" s="14"/>
    </row>
    <row r="36" spans="2:13" ht="17.5" customHeight="1" x14ac:dyDescent="0.55000000000000004">
      <c r="B36" s="280" t="str">
        <f>'Input sheet 2'!$B$49</f>
        <v>請求情報</v>
      </c>
      <c r="C36" s="281"/>
      <c r="D36" s="60" t="str">
        <f>'Input sheet 2'!$C$69</f>
        <v>支払形態</v>
      </c>
      <c r="E36" s="268">
        <f>'Input sheet 2'!$C$71</f>
        <v>0</v>
      </c>
      <c r="F36" s="269"/>
      <c r="G36" s="62" t="str">
        <f>'Input sheet 2'!$C$51</f>
        <v>請求宛名</v>
      </c>
      <c r="H36" s="270">
        <f>'Input sheet 2'!$C$53</f>
        <v>0</v>
      </c>
      <c r="I36" s="270"/>
      <c r="J36" s="270"/>
      <c r="K36" s="270"/>
      <c r="L36" s="271"/>
      <c r="M36" s="14"/>
    </row>
    <row r="37" spans="2:13" ht="21.65" customHeight="1" x14ac:dyDescent="0.55000000000000004">
      <c r="B37" s="282"/>
      <c r="C37" s="283"/>
      <c r="D37" s="272" t="str">
        <f>'Input sheet 2'!$C$70&amp;CHAR(10)&amp;'Input sheet 2'!C73&amp;IF(L,Notes!D28,"")</f>
        <v>"一括払い" または"月々後払い"をお選びください。これ以外をご希望の場合は、備考欄にご記入ください。ご選択、ご指定のない場合は"一括払い"になります。また、請求時期の指定を備考欄にご記入ください。請求時期ご指定のない場合、請求書は "一括払い" では利用の最終月の前月に、"月々後払い" では利用月の翌月に発送します。
受け取った請求書に関する問い合わせは SHIROKANE サポート係に、メールでご連絡ください。support@hgc.jp</v>
      </c>
      <c r="E37" s="272"/>
      <c r="F37" s="272"/>
      <c r="G37" s="272"/>
      <c r="H37" s="272"/>
      <c r="I37" s="272"/>
      <c r="J37" s="272"/>
      <c r="K37" s="272"/>
      <c r="L37" s="273"/>
      <c r="M37" s="14"/>
    </row>
    <row r="38" spans="2:13" ht="15.65" customHeight="1" x14ac:dyDescent="0.55000000000000004">
      <c r="B38" s="282"/>
      <c r="C38" s="283"/>
      <c r="D38" s="60" t="str">
        <f>'Input sheet 2'!$C$56</f>
        <v>書類の送付先</v>
      </c>
      <c r="E38" s="249" t="str">
        <f>SUBSTITUTE(SUBSTITUTE('Input sheet 2'!$C$58,"下","右"),"below","right")</f>
        <v/>
      </c>
      <c r="F38" s="250"/>
      <c r="G38" s="245">
        <f>'Input sheet 2'!$C$61</f>
        <v>0</v>
      </c>
      <c r="H38" s="245"/>
      <c r="I38" s="245"/>
      <c r="J38" s="245"/>
      <c r="K38" s="245"/>
      <c r="L38" s="246"/>
      <c r="M38" s="14"/>
    </row>
    <row r="39" spans="2:13" ht="33.75" customHeight="1" x14ac:dyDescent="0.55000000000000004">
      <c r="B39" s="284"/>
      <c r="C39" s="285"/>
      <c r="D39" s="54" t="str">
        <f>'Input sheet 2'!$C$64</f>
        <v>備考</v>
      </c>
      <c r="E39" s="247">
        <f>'Input sheet 2'!$C$66</f>
        <v>0</v>
      </c>
      <c r="F39" s="247"/>
      <c r="G39" s="247"/>
      <c r="H39" s="247"/>
      <c r="I39" s="247"/>
      <c r="J39" s="247"/>
      <c r="K39" s="247"/>
      <c r="L39" s="248"/>
      <c r="M39" s="14"/>
    </row>
    <row r="40" spans="2:13" ht="1.5" customHeight="1" x14ac:dyDescent="0.55000000000000004">
      <c r="B40" s="76"/>
      <c r="C40" s="77"/>
      <c r="D40" s="49"/>
      <c r="E40" s="50"/>
      <c r="F40" s="43"/>
      <c r="G40" s="49"/>
      <c r="H40" s="50"/>
      <c r="I40" s="50"/>
      <c r="J40" s="49"/>
      <c r="K40" s="50"/>
      <c r="L40" s="50"/>
      <c r="M40" s="14"/>
    </row>
    <row r="41" spans="2:13" ht="12.65" customHeight="1" x14ac:dyDescent="0.55000000000000004">
      <c r="B41" s="274" t="str">
        <f>'Input sheet 3'!$B$52</f>
        <v>月々利用料金表</v>
      </c>
      <c r="C41" s="275"/>
      <c r="D41" s="97" t="str">
        <f>'Input sheet 3'!$M$19</f>
        <v/>
      </c>
      <c r="E41" s="96" t="e">
        <f>IF(OR(NOT(banana!$E$64),banana!$D$31),"-",'Input sheet 3'!$M$52)</f>
        <v>#N/A</v>
      </c>
      <c r="F41" s="97" t="str">
        <f>'Input sheet 3'!$N$19</f>
        <v/>
      </c>
      <c r="G41" s="96" t="e">
        <f>IF(OR(NOT(banana!$F$64),banana!$D$31),"-",'Input sheet 3'!$N$52)</f>
        <v>#N/A</v>
      </c>
      <c r="H41" s="97" t="str">
        <f>'Input sheet 3'!$O$19</f>
        <v/>
      </c>
      <c r="I41" s="96" t="e">
        <f>IF(OR(NOT(banana!$G$64),banana!$D$31),"-",'Input sheet 3'!$O$52)</f>
        <v>#N/A</v>
      </c>
      <c r="J41" s="101"/>
      <c r="K41" s="102"/>
      <c r="L41" s="103"/>
      <c r="M41" s="14"/>
    </row>
    <row r="42" spans="2:13" ht="12.65" customHeight="1" x14ac:dyDescent="0.55000000000000004">
      <c r="B42" s="276"/>
      <c r="C42" s="277"/>
      <c r="D42" s="97" t="str">
        <f>'Input sheet 3'!$D$19</f>
        <v/>
      </c>
      <c r="E42" s="96" t="e">
        <f>IF(OR(NOT(banana!$H$64),banana!$D$31),"-",'Input sheet 3'!$D$52)</f>
        <v>#N/A</v>
      </c>
      <c r="F42" s="97" t="str">
        <f>'Input sheet 3'!$E$19</f>
        <v/>
      </c>
      <c r="G42" s="96" t="e">
        <f>IF(OR(NOT(banana!$I$64),banana!$D$31),"-",'Input sheet 3'!$E$52)</f>
        <v>#N/A</v>
      </c>
      <c r="H42" s="97" t="str">
        <f>'Input sheet 3'!$F$19</f>
        <v/>
      </c>
      <c r="I42" s="96" t="e">
        <f>IF(OR(NOT(banana!$J$64),banana!$D$31),"-",'Input sheet 3'!$F$52)</f>
        <v>#N/A</v>
      </c>
      <c r="J42" s="104"/>
      <c r="K42" s="105"/>
      <c r="L42" s="106"/>
      <c r="M42" s="14"/>
    </row>
    <row r="43" spans="2:13" ht="12.65" customHeight="1" x14ac:dyDescent="0.55000000000000004">
      <c r="B43" s="276"/>
      <c r="C43" s="277"/>
      <c r="D43" s="97" t="str">
        <f>'Input sheet 3'!$G$19</f>
        <v/>
      </c>
      <c r="E43" s="96" t="e">
        <f>IF(OR(NOT(banana!$K$64),banana!$D$31),"-",'Input sheet 3'!$G$52)</f>
        <v>#N/A</v>
      </c>
      <c r="F43" s="97" t="str">
        <f>'Input sheet 3'!$H$19</f>
        <v/>
      </c>
      <c r="G43" s="96" t="e">
        <f>IF(OR(NOT(banana!$L$64),banana!$D$31),"-",'Input sheet 3'!$H$52)</f>
        <v>#N/A</v>
      </c>
      <c r="H43" s="97" t="str">
        <f>'Input sheet 3'!$I$19</f>
        <v/>
      </c>
      <c r="I43" s="96" t="e">
        <f>IF(OR(NOT(banana!$M$64),banana!$D$31),"-",'Input sheet 3'!$I$52)</f>
        <v>#N/A</v>
      </c>
      <c r="J43" s="104"/>
      <c r="K43" s="105"/>
      <c r="L43" s="106"/>
      <c r="M43" s="14"/>
    </row>
    <row r="44" spans="2:13" ht="12.65" customHeight="1" x14ac:dyDescent="0.55000000000000004">
      <c r="B44" s="276"/>
      <c r="C44" s="277"/>
      <c r="D44" s="97" t="str">
        <f>'Input sheet 3'!$J$19</f>
        <v/>
      </c>
      <c r="E44" s="96" t="e">
        <f>IF(OR(NOT(banana!$N$64),banana!$D$31),"-",'Input sheet 3'!$J$52)</f>
        <v>#N/A</v>
      </c>
      <c r="F44" s="97" t="str">
        <f>'Input sheet 3'!$K$19</f>
        <v/>
      </c>
      <c r="G44" s="96" t="e">
        <f>IF(OR(NOT(banana!$O$64),banana!$D$31),"-",'Input sheet 3'!$K$52)</f>
        <v>#N/A</v>
      </c>
      <c r="H44" s="97" t="str">
        <f>'Input sheet 3'!$L$19</f>
        <v/>
      </c>
      <c r="I44" s="96" t="e">
        <f>IF(OR(NOT(banana!$P$64),banana!$D$31),"-",'Input sheet 3'!$L$52)</f>
        <v>#N/A</v>
      </c>
      <c r="J44" s="98"/>
      <c r="K44" s="99"/>
      <c r="L44" s="100"/>
      <c r="M44" s="14"/>
    </row>
    <row r="45" spans="2:13" ht="12.65" customHeight="1" x14ac:dyDescent="0.55000000000000004">
      <c r="B45" s="278"/>
      <c r="C45" s="279"/>
      <c r="D45" s="251" t="str">
        <f>'Input sheet 3'!$B$64</f>
        <v>参考利用料金 (合計)</v>
      </c>
      <c r="E45" s="252"/>
      <c r="F45" s="253" t="e">
        <f>IF(banana!D31,'Input sheet 3'!D64,SUM(E41:E44,G41:G44,I41:I44))</f>
        <v>#N/A</v>
      </c>
      <c r="G45" s="253"/>
      <c r="H45" s="254" t="str">
        <f>'Input sheet 3'!$F$64</f>
        <v>（税込）</v>
      </c>
      <c r="I45" s="255"/>
      <c r="J45" s="72" t="s">
        <v>121</v>
      </c>
      <c r="K45" s="89">
        <v>9</v>
      </c>
      <c r="L45" s="88">
        <v>3</v>
      </c>
      <c r="M45" s="14"/>
    </row>
    <row r="46" spans="2:13" ht="95.5" customHeight="1" x14ac:dyDescent="0.55000000000000004">
      <c r="B46" s="129"/>
      <c r="C46" s="129"/>
      <c r="D46" s="129"/>
      <c r="E46" s="129"/>
      <c r="F46" s="129"/>
      <c r="G46" s="129"/>
      <c r="H46" s="129"/>
      <c r="I46" s="129"/>
      <c r="J46" s="129"/>
      <c r="K46" s="14"/>
      <c r="L46" s="14"/>
      <c r="M46" s="14"/>
    </row>
    <row r="47" spans="2:13" ht="3" customHeight="1" x14ac:dyDescent="0.55000000000000004">
      <c r="B47" s="128"/>
      <c r="C47" s="128"/>
      <c r="D47" s="128"/>
      <c r="E47" s="128"/>
      <c r="F47" s="128"/>
      <c r="G47" s="128"/>
      <c r="H47" s="128"/>
      <c r="I47" s="128"/>
      <c r="J47" s="128"/>
      <c r="K47" s="14"/>
      <c r="L47" s="14"/>
      <c r="M47" s="14"/>
    </row>
    <row r="48" spans="2:13" ht="3" customHeight="1" x14ac:dyDescent="0.55000000000000004">
      <c r="B48" s="128"/>
      <c r="C48" s="128"/>
      <c r="D48" s="128"/>
      <c r="E48" s="128"/>
      <c r="F48" s="128"/>
      <c r="G48" s="128"/>
      <c r="H48" s="128"/>
      <c r="I48" s="128"/>
      <c r="J48" s="128"/>
      <c r="K48" s="14"/>
      <c r="L48" s="14"/>
      <c r="M48" s="14"/>
    </row>
    <row r="49" spans="2:13" ht="3" customHeight="1" x14ac:dyDescent="0.55000000000000004">
      <c r="B49" s="128"/>
      <c r="C49" s="90"/>
      <c r="D49" s="90"/>
      <c r="E49" s="90"/>
      <c r="F49" s="90"/>
      <c r="G49" s="90"/>
      <c r="H49" s="90"/>
      <c r="I49" s="90"/>
      <c r="J49" s="90"/>
      <c r="K49" s="14"/>
      <c r="L49" s="14"/>
      <c r="M49" s="14"/>
    </row>
    <row r="50" spans="2:13" ht="13" customHeight="1" x14ac:dyDescent="0.55000000000000004">
      <c r="B50" s="240" t="str">
        <f>'Input sheet 3'!$B$16</f>
        <v>利用希望形態</v>
      </c>
      <c r="C50" s="256" t="str">
        <f>banana!A203</f>
        <v>利用料金 (合計)</v>
      </c>
      <c r="D50" s="257"/>
      <c r="E50" s="257"/>
      <c r="F50" s="257"/>
      <c r="G50" s="257"/>
      <c r="H50" s="81"/>
      <c r="I50" s="258" t="e">
        <f>banana!$Q$179</f>
        <v>#N/A</v>
      </c>
      <c r="J50" s="259"/>
      <c r="K50" s="82"/>
      <c r="L50" s="14"/>
      <c r="M50" s="14"/>
    </row>
    <row r="51" spans="2:13" ht="12.65" customHeight="1" x14ac:dyDescent="0.55000000000000004">
      <c r="B51" s="241"/>
      <c r="C51" s="84" t="str">
        <f>'Input sheet 4'!B6</f>
        <v>技術支援サービス</v>
      </c>
      <c r="D51" s="14"/>
      <c r="E51" s="14"/>
      <c r="F51" s="14"/>
      <c r="G51" s="14"/>
      <c r="H51" s="14"/>
      <c r="I51" s="14"/>
      <c r="J51" s="14"/>
      <c r="K51" s="83"/>
      <c r="L51" s="14"/>
      <c r="M51" s="14"/>
    </row>
    <row r="52" spans="2:13" ht="25" customHeight="1" x14ac:dyDescent="0.55000000000000004">
      <c r="B52" s="241"/>
      <c r="C52" s="85"/>
      <c r="D52" s="260" t="str">
        <f>IF(banana!$B$193,IF(banana!$B$194," / "&amp;banana!$A$194&amp;":"&amp;banana!$B$194,"")&amp;IF(banana!$B$195," / "&amp;banana!$A$195&amp;":"&amp;banana!$B$195,"")&amp;IF(banana!$B$196," / "&amp;banana!$A$196&amp;":"&amp;banana!$B$196,"")&amp;IF(banana!$B$197," / "&amp;banana!$A$197&amp;":"&amp;banana!$B$197,"")&amp;IF(banana!$B$198," / "&amp;banana!$A$198&amp;":"&amp;banana!$B$198,"")&amp;IF(banana!$B$199," / "&amp;banana!$A$199&amp;":"&amp;banana!$B$199,"")&amp;IF(banana!$B$200," / "&amp;banana!$A$200&amp;":"&amp;banana!$B$200,""),"")</f>
        <v/>
      </c>
      <c r="E52" s="260"/>
      <c r="F52" s="260"/>
      <c r="G52" s="260"/>
      <c r="H52" s="260"/>
      <c r="I52" s="260"/>
      <c r="J52" s="261"/>
      <c r="K52" s="191"/>
      <c r="L52" s="14"/>
      <c r="M52" s="14"/>
    </row>
    <row r="53" spans="2:13" ht="9" customHeight="1" x14ac:dyDescent="0.55000000000000004">
      <c r="B53" s="241"/>
      <c r="C53" s="233" t="e">
        <f>IF(banana!$E$68,banana!$E$116,"-")</f>
        <v>#N/A</v>
      </c>
      <c r="D53" s="92" t="e">
        <f>IF(banana!$E$68,banana!$A$155,"")</f>
        <v>#N/A</v>
      </c>
      <c r="E53" s="92" t="e">
        <f>IF(banana!$E$68,banana!$A$177,"")</f>
        <v>#N/A</v>
      </c>
      <c r="F53" s="34"/>
      <c r="G53" s="35"/>
      <c r="H53" s="35"/>
      <c r="I53" s="35"/>
      <c r="J53" s="35"/>
      <c r="K53" s="192" t="e">
        <f>IF(banana!$E$68,banana!$E$166,"")</f>
        <v>#N/A</v>
      </c>
      <c r="L53" s="30"/>
      <c r="M53" s="14"/>
    </row>
    <row r="54" spans="2:13" ht="11.25" customHeight="1" x14ac:dyDescent="0.55000000000000004">
      <c r="B54" s="241"/>
      <c r="C54" s="234"/>
      <c r="D54" s="91" t="e">
        <f>banana!$E$155</f>
        <v>#N/A</v>
      </c>
      <c r="E54" s="237" t="e">
        <f>IF(banana!$E$156," / "&amp;banana!$A$156&amp;":"&amp;banana!$E$156,"")&amp;IF(banana!$E$157," / "&amp;banana!$A$157&amp;":"&amp;banana!$E$157,"")&amp;IF(banana!$E$158," / "&amp;banana!$A$158&amp;":"&amp;banana!$E$158,"")&amp;IF(banana!$E$159," / "&amp;banana!$A$159&amp;":"&amp;banana!$E$159,"")&amp;IF(banana!$E$160," / "&amp;banana!$A$160&amp;":"&amp;banana!$E$160,"")&amp;IF(banana!$E$161," / "&amp;banana!$A$161&amp;":"&amp;banana!$E$161,"")&amp;IF(banana!$E$162," / "&amp;banana!$A$162&amp;":"&amp;banana!$E$162,"")&amp;IF(banana!$E$163," / "&amp;banana!$A$163&amp;":"&amp;banana!$E$163,"")&amp;IF(banana!$E$164," / "&amp;banana!$A$164&amp;":"&amp;banana!$E$164,"")</f>
        <v>#N/A</v>
      </c>
      <c r="F54" s="237"/>
      <c r="G54" s="237"/>
      <c r="H54" s="237"/>
      <c r="I54" s="237"/>
      <c r="J54" s="237"/>
      <c r="K54" s="94" t="e">
        <f>banana!$E$177</f>
        <v>#N/A</v>
      </c>
      <c r="L54" s="14"/>
      <c r="M54" s="14"/>
    </row>
    <row r="55" spans="2:13" ht="8.25" customHeight="1" x14ac:dyDescent="0.55000000000000004">
      <c r="B55" s="241"/>
      <c r="C55" s="18"/>
      <c r="D55" s="93" t="e">
        <f>IF(banana!$E$68,IF(L,"リソース","Resources"),"")</f>
        <v>#N/A</v>
      </c>
      <c r="E55" s="237"/>
      <c r="F55" s="237"/>
      <c r="G55" s="237"/>
      <c r="H55" s="237"/>
      <c r="I55" s="237"/>
      <c r="J55" s="237"/>
      <c r="K55" s="235" t="e">
        <f>banana!$E$179</f>
        <v>#N/A</v>
      </c>
      <c r="L55" s="14"/>
      <c r="M55" s="14"/>
    </row>
    <row r="56" spans="2:13" ht="15.75" customHeight="1" x14ac:dyDescent="0.55000000000000004">
      <c r="B56" s="241"/>
      <c r="C56" s="52"/>
      <c r="D56" s="238" t="e">
        <f>IF(banana!$E$181," / "&amp;banana!$A$181&amp;":"&amp;banana!$E$181,"")&amp;IF(banana!$E$182," / "&amp;banana!$A$182&amp;":"&amp;banana!$E$182,"")&amp;IF(banana!$E$183," / "&amp;banana!$A$183&amp;":"&amp;banana!$E$183,"")&amp;IF(banana!$E$184," / "&amp;banana!$A$184&amp;":"&amp;banana!$E$184,"")&amp;IF(banana!$E$185," / "&amp;banana!$A$185&amp;":"&amp;banana!$E$185,"")&amp;IF(banana!$E$186," / "&amp;banana!$A$186&amp;":"&amp;banana!$E$186,"")&amp;IF(banana!$E$187," / "&amp;banana!$A$187&amp;":"&amp;banana!$E$187,"")&amp;IF(banana!$E$188," / "&amp;banana!$A$188&amp;" "&amp;banana!$B$188&amp;":"&amp;banana!$E$188,"")&amp;IF(banana!$E$190," / "&amp;banana!$A$190&amp;":"&amp;banana!$E$190,"")&amp;IF(banana!$E$191&lt;&gt;""," / "&amp;banana!$A$191&amp;":"&amp;banana!$E$191,"")</f>
        <v>#N/A</v>
      </c>
      <c r="E56" s="238"/>
      <c r="F56" s="238"/>
      <c r="G56" s="238"/>
      <c r="H56" s="238"/>
      <c r="I56" s="238"/>
      <c r="J56" s="238"/>
      <c r="K56" s="236"/>
      <c r="L56" s="14"/>
      <c r="M56" s="14"/>
    </row>
    <row r="57" spans="2:13" ht="9" customHeight="1" x14ac:dyDescent="0.55000000000000004">
      <c r="B57" s="241"/>
      <c r="C57" s="233" t="e">
        <f>IF(banana!$F$68,banana!$F$116,"-")</f>
        <v>#N/A</v>
      </c>
      <c r="D57" s="92" t="e">
        <f>IF(banana!$F$68,banana!$A$155,"")</f>
        <v>#N/A</v>
      </c>
      <c r="E57" s="92" t="e">
        <f>IF(banana!$F$68,banana!$A$177,"")</f>
        <v>#N/A</v>
      </c>
      <c r="F57" s="34"/>
      <c r="G57" s="35"/>
      <c r="H57" s="35"/>
      <c r="I57" s="35"/>
      <c r="J57" s="35"/>
      <c r="K57" s="95" t="e">
        <f>IF(banana!$F$68,banana!$F$166,"")</f>
        <v>#N/A</v>
      </c>
      <c r="L57" s="14"/>
      <c r="M57" s="14"/>
    </row>
    <row r="58" spans="2:13" ht="11.25" customHeight="1" x14ac:dyDescent="0.55000000000000004">
      <c r="B58" s="241"/>
      <c r="C58" s="234"/>
      <c r="D58" s="91" t="e">
        <f>banana!$F$155</f>
        <v>#N/A</v>
      </c>
      <c r="E58" s="237" t="e">
        <f>IF(banana!$F$156," / "&amp;banana!$A$156&amp;":"&amp;banana!$F$156,"")&amp;IF(banana!$F$157," / "&amp;banana!$A$157&amp;":"&amp;banana!$F$157,"")&amp;IF(banana!$F$158," / "&amp;banana!$A$158&amp;":"&amp;banana!$F$158,"")&amp;IF(banana!$F$159," / "&amp;banana!$A$159&amp;":"&amp;banana!$F$159,"")&amp;IF(banana!$F$160," / "&amp;banana!$A$160&amp;":"&amp;banana!$F$160,"")&amp;IF(banana!$F$161," / "&amp;banana!$A$161&amp;":"&amp;banana!$F$161,"")&amp;IF(banana!$F$162," / "&amp;banana!$A$162&amp;":"&amp;banana!$F$162,"")&amp;IF(banana!$F$163," / "&amp;banana!$A$163&amp;":"&amp;banana!$F$163,"")&amp;IF(banana!$F$164," / "&amp;banana!$A$164&amp;":"&amp;banana!$F$164,"")</f>
        <v>#N/A</v>
      </c>
      <c r="F58" s="237"/>
      <c r="G58" s="237"/>
      <c r="H58" s="237"/>
      <c r="I58" s="237"/>
      <c r="J58" s="237"/>
      <c r="K58" s="94" t="e">
        <f>banana!$F$177</f>
        <v>#N/A</v>
      </c>
      <c r="L58" s="14"/>
      <c r="M58" s="14"/>
    </row>
    <row r="59" spans="2:13" ht="8.25" customHeight="1" x14ac:dyDescent="0.55000000000000004">
      <c r="B59" s="241"/>
      <c r="C59" s="18"/>
      <c r="D59" s="93" t="e">
        <f>IF(banana!$F$68,IF(L,"リソース","Resources"),"")</f>
        <v>#N/A</v>
      </c>
      <c r="E59" s="237"/>
      <c r="F59" s="237"/>
      <c r="G59" s="237"/>
      <c r="H59" s="237"/>
      <c r="I59" s="237"/>
      <c r="J59" s="237"/>
      <c r="K59" s="235" t="e">
        <f>banana!$F$179</f>
        <v>#N/A</v>
      </c>
      <c r="L59" s="14"/>
      <c r="M59" s="14"/>
    </row>
    <row r="60" spans="2:13" ht="15.75" customHeight="1" x14ac:dyDescent="0.55000000000000004">
      <c r="B60" s="241"/>
      <c r="C60" s="52"/>
      <c r="D60" s="238" t="e">
        <f>IF(banana!$F$181," / "&amp;banana!$A$181&amp;":"&amp;banana!$F$181,"")&amp;IF(banana!$F$182," / "&amp;banana!$A$182&amp;":"&amp;banana!$F$182,"")&amp;IF(banana!$F$183," / "&amp;banana!$A$183&amp;":"&amp;banana!$F$183,"")&amp;IF(banana!$F$184," / "&amp;banana!$A$184&amp;":"&amp;banana!$F$184,"")&amp;IF(banana!$F$185," / "&amp;banana!$A$185&amp;":"&amp;banana!$F$185,"")&amp;IF(banana!$F$186," / "&amp;banana!$A$186&amp;":"&amp;banana!$F$186,"")&amp;IF(banana!$F$187," / "&amp;banana!$A$187&amp;":"&amp;banana!$F$187,"")&amp;IF(banana!$F$188," / "&amp;banana!$A$188&amp;" "&amp;banana!$B$188&amp;":"&amp;banana!$F$188,"")&amp;IF(banana!$F$190," / "&amp;banana!$A$190&amp;":"&amp;banana!$F$190,"")&amp;IF(banana!$F$191&lt;&gt;""," / "&amp;banana!$A$191&amp;":"&amp;banana!$F$191,"")</f>
        <v>#N/A</v>
      </c>
      <c r="E60" s="238"/>
      <c r="F60" s="238"/>
      <c r="G60" s="238"/>
      <c r="H60" s="238"/>
      <c r="I60" s="238"/>
      <c r="J60" s="238"/>
      <c r="K60" s="236"/>
    </row>
    <row r="61" spans="2:13" ht="9" customHeight="1" x14ac:dyDescent="0.55000000000000004">
      <c r="B61" s="241"/>
      <c r="C61" s="233" t="e">
        <f>IF(banana!$G$68,banana!$G$116,"-")</f>
        <v>#N/A</v>
      </c>
      <c r="D61" s="92" t="e">
        <f>IF(banana!$G$68,banana!$A$155,"")</f>
        <v>#N/A</v>
      </c>
      <c r="E61" s="92" t="e">
        <f>IF(banana!$G$68,banana!$A$177,"")</f>
        <v>#N/A</v>
      </c>
      <c r="F61" s="34"/>
      <c r="G61" s="35"/>
      <c r="H61" s="35"/>
      <c r="I61" s="35"/>
      <c r="J61" s="35"/>
      <c r="K61" s="95" t="e">
        <f>IF(banana!$G$68,banana!$G$166,"")</f>
        <v>#N/A</v>
      </c>
      <c r="L61" s="14"/>
      <c r="M61" s="14"/>
    </row>
    <row r="62" spans="2:13" ht="11.25" customHeight="1" x14ac:dyDescent="0.55000000000000004">
      <c r="B62" s="241"/>
      <c r="C62" s="234"/>
      <c r="D62" s="91" t="e">
        <f>banana!$G$155</f>
        <v>#N/A</v>
      </c>
      <c r="E62" s="237" t="e">
        <f>IF(banana!$G$156," / "&amp;banana!$A$156&amp;":"&amp;banana!$G$156,"")&amp;IF(banana!$G$157," / "&amp;banana!$A$157&amp;":"&amp;banana!$G$157,"")&amp;IF(banana!$G$158," / "&amp;banana!$A$158&amp;":"&amp;banana!$G$158,"")&amp;IF(banana!$G$159," / "&amp;banana!$A$159&amp;":"&amp;banana!$G$159,"")&amp;IF(banana!$G$160," / "&amp;banana!$A$160&amp;":"&amp;banana!$G$160,"")&amp;IF(banana!$G$161," / "&amp;banana!$A$161&amp;":"&amp;banana!$G$161,"")&amp;IF(banana!$G$162," / "&amp;banana!$A$162&amp;":"&amp;banana!$G$162,"")&amp;IF(banana!$G$163," / "&amp;banana!$A$163&amp;":"&amp;banana!$G$163,"")&amp;IF(banana!$G$164," / "&amp;banana!$A$164&amp;":"&amp;banana!$G$164,"")</f>
        <v>#N/A</v>
      </c>
      <c r="F62" s="237"/>
      <c r="G62" s="237"/>
      <c r="H62" s="237"/>
      <c r="I62" s="237"/>
      <c r="J62" s="237"/>
      <c r="K62" s="94" t="e">
        <f>banana!$G$177</f>
        <v>#N/A</v>
      </c>
      <c r="L62" s="14"/>
      <c r="M62" s="14"/>
    </row>
    <row r="63" spans="2:13" ht="8.25" customHeight="1" x14ac:dyDescent="0.55000000000000004">
      <c r="B63" s="241"/>
      <c r="C63" s="18"/>
      <c r="D63" s="93" t="e">
        <f>IF(banana!$G$68,IF(L,"リソース","Resources"),"")</f>
        <v>#N/A</v>
      </c>
      <c r="E63" s="237"/>
      <c r="F63" s="237"/>
      <c r="G63" s="237"/>
      <c r="H63" s="237"/>
      <c r="I63" s="237"/>
      <c r="J63" s="237"/>
      <c r="K63" s="235" t="e">
        <f>banana!$G$179</f>
        <v>#N/A</v>
      </c>
      <c r="L63" s="14"/>
      <c r="M63" s="14"/>
    </row>
    <row r="64" spans="2:13" ht="15.75" customHeight="1" x14ac:dyDescent="0.55000000000000004">
      <c r="B64" s="241"/>
      <c r="C64" s="52"/>
      <c r="D64" s="238" t="e">
        <f>IF(banana!$G$181," / "&amp;banana!$A$181&amp;":"&amp;banana!$G$181,"")&amp;IF(banana!$G$182," / "&amp;banana!$A$182&amp;":"&amp;banana!$G$182,"")&amp;IF(banana!$G$183," / "&amp;banana!$A$183&amp;":"&amp;banana!$G$183,"")&amp;IF(banana!$G$184," / "&amp;banana!$A$184&amp;":"&amp;banana!$G$184,"")&amp;IF(banana!$G$185," / "&amp;banana!$A$185&amp;":"&amp;banana!$G$185,"")&amp;IF(banana!$G$186," / "&amp;banana!$A$186&amp;":"&amp;banana!$G$186,"")&amp;IF(banana!$G$187," / "&amp;banana!$A$187&amp;":"&amp;banana!$G$187,"")&amp;IF(banana!$G$188," / "&amp;banana!$A$188&amp;" "&amp;banana!$B$188&amp;":"&amp;banana!$G$188,"")&amp;IF(banana!$G$190," / "&amp;banana!$A$190&amp;":"&amp;banana!$G$190,"")&amp;IF(banana!$G$191&lt;&gt;""," / "&amp;banana!$A$191&amp;":"&amp;banana!$G$191,"")</f>
        <v>#N/A</v>
      </c>
      <c r="E64" s="238"/>
      <c r="F64" s="238"/>
      <c r="G64" s="238"/>
      <c r="H64" s="238"/>
      <c r="I64" s="238"/>
      <c r="J64" s="238"/>
      <c r="K64" s="236"/>
    </row>
    <row r="65" spans="2:13" ht="9" customHeight="1" x14ac:dyDescent="0.55000000000000004">
      <c r="B65" s="241"/>
      <c r="C65" s="233" t="e">
        <f>IF(banana!$H$68,banana!$H$116,"-")</f>
        <v>#N/A</v>
      </c>
      <c r="D65" s="92" t="e">
        <f>IF(banana!$I$68,banana!$A$155,"")</f>
        <v>#N/A</v>
      </c>
      <c r="E65" s="92" t="e">
        <f>IF(banana!$I$68,banana!$A$177,"")</f>
        <v>#N/A</v>
      </c>
      <c r="F65" s="34"/>
      <c r="G65" s="35"/>
      <c r="H65" s="35"/>
      <c r="I65" s="35"/>
      <c r="J65" s="35"/>
      <c r="K65" s="95" t="e">
        <f>IF(banana!$H$68,banana!$H$166,"")</f>
        <v>#N/A</v>
      </c>
      <c r="L65" s="14"/>
      <c r="M65" s="14"/>
    </row>
    <row r="66" spans="2:13" ht="11.25" customHeight="1" x14ac:dyDescent="0.55000000000000004">
      <c r="B66" s="241"/>
      <c r="C66" s="234"/>
      <c r="D66" s="91" t="e">
        <f>banana!$H$155</f>
        <v>#N/A</v>
      </c>
      <c r="E66" s="237" t="e">
        <f>IF(banana!$H$156," / "&amp;banana!$A$156&amp;":"&amp;banana!$H$156,"")&amp;IF(banana!$H$157," / "&amp;banana!$A$157&amp;":"&amp;banana!$H$157,"")&amp;IF(banana!$H$158," / "&amp;banana!$A$158&amp;":"&amp;banana!$H$158,"")&amp;IF(banana!$H$159," / "&amp;banana!$A$159&amp;":"&amp;banana!$H$159,"")&amp;IF(banana!$H$160," / "&amp;banana!$A$160&amp;":"&amp;banana!$H$160,"")&amp;IF(banana!$H$161," / "&amp;banana!$A$161&amp;":"&amp;banana!$H$161,"")&amp;IF(banana!$H$162," / "&amp;banana!$A$162&amp;":"&amp;banana!$H$162,"")&amp;IF(banana!$H$163," / "&amp;banana!$A$163&amp;":"&amp;banana!$H$163,"")&amp;IF(banana!$H$164," / "&amp;banana!$A$164&amp;":"&amp;banana!$H$164,"")</f>
        <v>#N/A</v>
      </c>
      <c r="F66" s="237"/>
      <c r="G66" s="237"/>
      <c r="H66" s="237"/>
      <c r="I66" s="237"/>
      <c r="J66" s="237"/>
      <c r="K66" s="94" t="e">
        <f>banana!$H$177</f>
        <v>#N/A</v>
      </c>
      <c r="L66" s="14"/>
      <c r="M66" s="14"/>
    </row>
    <row r="67" spans="2:13" ht="8.25" customHeight="1" x14ac:dyDescent="0.55000000000000004">
      <c r="B67" s="241"/>
      <c r="C67" s="18"/>
      <c r="D67" s="93" t="e">
        <f>IF(banana!$I$68,IF(L,"リソース","Resources"),"")</f>
        <v>#N/A</v>
      </c>
      <c r="E67" s="237"/>
      <c r="F67" s="237"/>
      <c r="G67" s="237"/>
      <c r="H67" s="237"/>
      <c r="I67" s="237"/>
      <c r="J67" s="237"/>
      <c r="K67" s="235" t="e">
        <f>banana!$H$179</f>
        <v>#N/A</v>
      </c>
      <c r="L67" s="14"/>
      <c r="M67" s="14"/>
    </row>
    <row r="68" spans="2:13" ht="15.75" customHeight="1" x14ac:dyDescent="0.55000000000000004">
      <c r="B68" s="241"/>
      <c r="C68" s="52"/>
      <c r="D68" s="238" t="e">
        <f>IF(banana!$H$181," / "&amp;banana!$A$181&amp;":"&amp;banana!$H$181,"")&amp;IF(banana!$H$182," / "&amp;banana!$A$182&amp;":"&amp;banana!$H$182,"")&amp;IF(banana!$H$183," / "&amp;banana!$A$183&amp;":"&amp;banana!$H$183,"")&amp;IF(banana!$H$184," / "&amp;banana!$A$184&amp;":"&amp;banana!$H$184,"")&amp;IF(banana!$H$185," / "&amp;banana!$A$185&amp;":"&amp;banana!$H$185,"")&amp;IF(banana!$H$186," / "&amp;banana!$A$186&amp;":"&amp;banana!$H$186,"")&amp;IF(banana!$H$187," / "&amp;banana!$A$187&amp;":"&amp;banana!$H$187,"")&amp;IF(banana!$H$188," / "&amp;banana!$A$188&amp;" "&amp;banana!$B$188&amp;":"&amp;banana!$H$188,"")&amp;IF(banana!$H$190," / "&amp;banana!$A$190&amp;":"&amp;banana!$H$190,"")&amp;IF(banana!$H$191&lt;&gt;""," / "&amp;banana!$A$191&amp;":"&amp;banana!$H$191,"")</f>
        <v>#N/A</v>
      </c>
      <c r="E68" s="238"/>
      <c r="F68" s="238"/>
      <c r="G68" s="238"/>
      <c r="H68" s="238"/>
      <c r="I68" s="238"/>
      <c r="J68" s="238"/>
      <c r="K68" s="236"/>
    </row>
    <row r="69" spans="2:13" ht="9" customHeight="1" x14ac:dyDescent="0.55000000000000004">
      <c r="B69" s="241"/>
      <c r="C69" s="233" t="e">
        <f>IF(banana!$I$68,banana!$I$116,"-")</f>
        <v>#N/A</v>
      </c>
      <c r="D69" s="92" t="e">
        <f>IF(banana!$I$68,banana!$A$155,"")</f>
        <v>#N/A</v>
      </c>
      <c r="E69" s="92" t="e">
        <f>IF(banana!$I$68,banana!$A$177,"")</f>
        <v>#N/A</v>
      </c>
      <c r="F69" s="34"/>
      <c r="G69" s="35"/>
      <c r="H69" s="35"/>
      <c r="I69" s="35"/>
      <c r="J69" s="35"/>
      <c r="K69" s="95" t="e">
        <f>IF(banana!$I$68,banana!$I$166,"")</f>
        <v>#N/A</v>
      </c>
      <c r="L69" s="14"/>
      <c r="M69" s="14"/>
    </row>
    <row r="70" spans="2:13" ht="11.25" customHeight="1" x14ac:dyDescent="0.55000000000000004">
      <c r="B70" s="241"/>
      <c r="C70" s="234"/>
      <c r="D70" s="91" t="e">
        <f>banana!$I$155</f>
        <v>#N/A</v>
      </c>
      <c r="E70" s="237" t="e">
        <f>IF(banana!$I$156," / "&amp;banana!$A$156&amp;":"&amp;banana!$I$156,"")&amp;IF(banana!$I$157," / "&amp;banana!$A$157&amp;":"&amp;banana!$I$157,"")&amp;IF(banana!$I$158," / "&amp;banana!$A$158&amp;":"&amp;banana!$I$158,"")&amp;IF(banana!$I$159," / "&amp;banana!$A$159&amp;":"&amp;banana!$I$159,"")&amp;IF(banana!$I$160," / "&amp;banana!$A$160&amp;":"&amp;banana!$I$160,"")&amp;IF(banana!$I$161," / "&amp;banana!$A$161&amp;":"&amp;banana!$I$161,"")&amp;IF(banana!$I$162," / "&amp;banana!$A$162&amp;":"&amp;banana!$I$162,"")&amp;IF(banana!$I$163," / "&amp;banana!$A$163&amp;":"&amp;banana!$I$163,"")&amp;IF(banana!$I$164," / "&amp;banana!$A$164&amp;":"&amp;banana!$I$164,"")</f>
        <v>#N/A</v>
      </c>
      <c r="F70" s="237"/>
      <c r="G70" s="237"/>
      <c r="H70" s="237"/>
      <c r="I70" s="237"/>
      <c r="J70" s="237"/>
      <c r="K70" s="94" t="e">
        <f>banana!$I$177</f>
        <v>#N/A</v>
      </c>
      <c r="L70" s="14"/>
      <c r="M70" s="14"/>
    </row>
    <row r="71" spans="2:13" ht="8.25" customHeight="1" x14ac:dyDescent="0.55000000000000004">
      <c r="B71" s="241"/>
      <c r="C71" s="18"/>
      <c r="D71" s="93" t="e">
        <f>IF(banana!$I$68,IF(L,"リソース","Resources"),"")</f>
        <v>#N/A</v>
      </c>
      <c r="E71" s="237"/>
      <c r="F71" s="237"/>
      <c r="G71" s="237"/>
      <c r="H71" s="237"/>
      <c r="I71" s="237"/>
      <c r="J71" s="237"/>
      <c r="K71" s="235" t="e">
        <f>banana!$I$179</f>
        <v>#N/A</v>
      </c>
      <c r="L71" s="14"/>
      <c r="M71" s="14"/>
    </row>
    <row r="72" spans="2:13" ht="15.75" customHeight="1" x14ac:dyDescent="0.55000000000000004">
      <c r="B72" s="241"/>
      <c r="C72" s="52"/>
      <c r="D72" s="238" t="e">
        <f>IF(banana!$I$181," / "&amp;banana!$A$181&amp;":"&amp;banana!$I$181,"")&amp;IF(banana!$I$182," / "&amp;banana!$A$182&amp;":"&amp;banana!$I$182,"")&amp;IF(banana!$I$183," / "&amp;banana!$A$183&amp;":"&amp;banana!$I$183,"")&amp;IF(banana!$I$184," / "&amp;banana!$A$184&amp;":"&amp;banana!$I$184,"")&amp;IF(banana!$I$185," / "&amp;banana!$A$185&amp;":"&amp;banana!$I$185,"")&amp;IF(banana!$I$186," / "&amp;banana!$A$186&amp;":"&amp;banana!$I$186,"")&amp;IF(banana!$I$187," / "&amp;banana!$A$187&amp;":"&amp;banana!$I$187,"")&amp;IF(banana!$I$188," / "&amp;banana!$A$188&amp;" "&amp;banana!$B$188&amp;":"&amp;banana!$I$188,"")&amp;IF(banana!$I$190," / "&amp;banana!$A$190&amp;":"&amp;banana!$I$190,"")&amp;IF(banana!$I$191&lt;&gt;""," / "&amp;banana!$A$191&amp;":"&amp;banana!$I$191,"")</f>
        <v>#N/A</v>
      </c>
      <c r="E72" s="238"/>
      <c r="F72" s="238"/>
      <c r="G72" s="238"/>
      <c r="H72" s="238"/>
      <c r="I72" s="238"/>
      <c r="J72" s="238"/>
      <c r="K72" s="236"/>
    </row>
    <row r="73" spans="2:13" ht="9" customHeight="1" x14ac:dyDescent="0.55000000000000004">
      <c r="B73" s="241"/>
      <c r="C73" s="233" t="e">
        <f>IF(banana!$J$68,banana!$J$116,"-")</f>
        <v>#N/A</v>
      </c>
      <c r="D73" s="92" t="e">
        <f>IF(banana!$J$68,banana!$A$155,"")</f>
        <v>#N/A</v>
      </c>
      <c r="E73" s="92" t="e">
        <f>IF(banana!$J$68,banana!$A$177,"")</f>
        <v>#N/A</v>
      </c>
      <c r="F73" s="34"/>
      <c r="G73" s="35"/>
      <c r="H73" s="35"/>
      <c r="I73" s="35"/>
      <c r="J73" s="35"/>
      <c r="K73" s="95" t="e">
        <f>IF(banana!$J$68,banana!$J$166,"")</f>
        <v>#N/A</v>
      </c>
      <c r="L73" s="14"/>
      <c r="M73" s="14"/>
    </row>
    <row r="74" spans="2:13" ht="11.25" customHeight="1" x14ac:dyDescent="0.55000000000000004">
      <c r="B74" s="241"/>
      <c r="C74" s="234"/>
      <c r="D74" s="91" t="e">
        <f>banana!$J$155</f>
        <v>#N/A</v>
      </c>
      <c r="E74" s="237" t="e">
        <f>IF(banana!$J$156," / "&amp;banana!$A$156&amp;":"&amp;banana!$J$156,"")&amp;IF(banana!$J$157," / "&amp;banana!$A$157&amp;":"&amp;banana!$J$157,"")&amp;IF(banana!$J$158," / "&amp;banana!$A$158&amp;":"&amp;banana!$J$158,"")&amp;IF(banana!$J$159," / "&amp;banana!$A$159&amp;":"&amp;banana!$J$159,"")&amp;IF(banana!$J$160," / "&amp;banana!$A$160&amp;":"&amp;banana!$J$160,"")&amp;IF(banana!$J$161," / "&amp;banana!$A$161&amp;":"&amp;banana!$J$161,"")&amp;IF(banana!$J$162," / "&amp;banana!$A$162&amp;":"&amp;banana!$J$162,"")&amp;IF(banana!$J$163," / "&amp;banana!$A$163&amp;":"&amp;banana!$J$163,"")&amp;IF(banana!$J$164," / "&amp;banana!$A$164&amp;":"&amp;banana!$J$164,"")</f>
        <v>#N/A</v>
      </c>
      <c r="F74" s="237"/>
      <c r="G74" s="237"/>
      <c r="H74" s="237"/>
      <c r="I74" s="237"/>
      <c r="J74" s="237"/>
      <c r="K74" s="94" t="e">
        <f>banana!$J$177</f>
        <v>#N/A</v>
      </c>
      <c r="L74" s="14"/>
      <c r="M74" s="14"/>
    </row>
    <row r="75" spans="2:13" ht="8.25" customHeight="1" x14ac:dyDescent="0.55000000000000004">
      <c r="B75" s="241"/>
      <c r="C75" s="18"/>
      <c r="D75" s="93" t="e">
        <f>IF(banana!$J$68,IF(L,"リソース","Resources"),"")</f>
        <v>#N/A</v>
      </c>
      <c r="E75" s="237"/>
      <c r="F75" s="237"/>
      <c r="G75" s="237"/>
      <c r="H75" s="237"/>
      <c r="I75" s="237"/>
      <c r="J75" s="237"/>
      <c r="K75" s="235" t="e">
        <f>banana!$J$179</f>
        <v>#N/A</v>
      </c>
      <c r="L75" s="14"/>
      <c r="M75" s="14"/>
    </row>
    <row r="76" spans="2:13" ht="15.75" customHeight="1" x14ac:dyDescent="0.55000000000000004">
      <c r="B76" s="241"/>
      <c r="C76" s="52"/>
      <c r="D76" s="238" t="e">
        <f>IF(banana!$J$181," / "&amp;banana!$A$181&amp;":"&amp;banana!$J$181,"")&amp;IF(banana!$J$182," / "&amp;banana!$A$182&amp;":"&amp;banana!$J$182,"")&amp;IF(banana!$J$183," / "&amp;banana!$A$183&amp;":"&amp;banana!$J$183,"")&amp;IF(banana!$J$184," / "&amp;banana!$A$184&amp;":"&amp;banana!$J$184,"")&amp;IF(banana!$J$185," / "&amp;banana!$A$185&amp;":"&amp;banana!$J$185,"")&amp;IF(banana!$J$186," / "&amp;banana!$A$186&amp;":"&amp;banana!$J$186,"")&amp;IF(banana!$J$187," / "&amp;banana!$A$187&amp;":"&amp;banana!$J$187,"")&amp;IF(banana!$J$188," / "&amp;banana!$A$188&amp;" "&amp;banana!$B$188&amp;":"&amp;banana!$J$188,"")&amp;IF(banana!$J$190," / "&amp;banana!$A$190&amp;":"&amp;banana!$J$190,"")&amp;IF(banana!$J$191&lt;&gt;""," / "&amp;banana!$A$191&amp;":"&amp;banana!$J$191,"")</f>
        <v>#N/A</v>
      </c>
      <c r="E76" s="238"/>
      <c r="F76" s="238"/>
      <c r="G76" s="238"/>
      <c r="H76" s="238"/>
      <c r="I76" s="238"/>
      <c r="J76" s="238"/>
      <c r="K76" s="236"/>
    </row>
    <row r="77" spans="2:13" ht="9" customHeight="1" x14ac:dyDescent="0.55000000000000004">
      <c r="B77" s="241"/>
      <c r="C77" s="233" t="e">
        <f>IF(banana!$K$68,banana!$K$116,"-")</f>
        <v>#N/A</v>
      </c>
      <c r="D77" s="92" t="e">
        <f>IF(banana!$K$68,banana!$A$155,"")</f>
        <v>#N/A</v>
      </c>
      <c r="E77" s="92" t="e">
        <f>IF(banana!$K$68,banana!$A$177,"")</f>
        <v>#N/A</v>
      </c>
      <c r="F77" s="34"/>
      <c r="G77" s="35"/>
      <c r="H77" s="35"/>
      <c r="I77" s="35"/>
      <c r="J77" s="35"/>
      <c r="K77" s="95" t="e">
        <f>IF(banana!$K$68,banana!$K$166,"")</f>
        <v>#N/A</v>
      </c>
      <c r="L77" s="14"/>
      <c r="M77" s="14"/>
    </row>
    <row r="78" spans="2:13" ht="11.25" customHeight="1" x14ac:dyDescent="0.55000000000000004">
      <c r="B78" s="241"/>
      <c r="C78" s="234"/>
      <c r="D78" s="91" t="e">
        <f>banana!$K$155</f>
        <v>#N/A</v>
      </c>
      <c r="E78" s="237" t="e">
        <f>IF(banana!$K$156," / "&amp;banana!$A$156&amp;":"&amp;banana!$K$156,"")&amp;IF(banana!$K$157," / "&amp;banana!$A$157&amp;":"&amp;banana!$K$157,"")&amp;IF(banana!$K$158," / "&amp;banana!$A$158&amp;":"&amp;banana!$K$158,"")&amp;IF(banana!$K$159," / "&amp;banana!$A$159&amp;":"&amp;banana!$K$159,"")&amp;IF(banana!$K$160," / "&amp;banana!$A$160&amp;":"&amp;banana!$K$160,"")&amp;IF(banana!$K$161," / "&amp;banana!$A$161&amp;":"&amp;banana!$K$161,"")&amp;IF(banana!$K$162," / "&amp;banana!$A$162&amp;":"&amp;banana!$K$162,"")&amp;IF(banana!$K$163," / "&amp;banana!$A$163&amp;":"&amp;banana!$K$163,"")&amp;IF(banana!$K$164," / "&amp;banana!$A$164&amp;":"&amp;banana!$K$164,"")</f>
        <v>#N/A</v>
      </c>
      <c r="F78" s="237"/>
      <c r="G78" s="237"/>
      <c r="H78" s="237"/>
      <c r="I78" s="237"/>
      <c r="J78" s="237"/>
      <c r="K78" s="94" t="e">
        <f>banana!$K$177</f>
        <v>#N/A</v>
      </c>
      <c r="L78" s="14"/>
      <c r="M78" s="14"/>
    </row>
    <row r="79" spans="2:13" ht="8.25" customHeight="1" x14ac:dyDescent="0.55000000000000004">
      <c r="B79" s="241"/>
      <c r="C79" s="18"/>
      <c r="D79" s="93" t="e">
        <f>IF(banana!$K$68,IF(L,"リソース","Resources"),"")</f>
        <v>#N/A</v>
      </c>
      <c r="E79" s="237"/>
      <c r="F79" s="237"/>
      <c r="G79" s="237"/>
      <c r="H79" s="237"/>
      <c r="I79" s="237"/>
      <c r="J79" s="237"/>
      <c r="K79" s="235" t="e">
        <f>banana!$K$179</f>
        <v>#N/A</v>
      </c>
      <c r="L79" s="14"/>
      <c r="M79" s="14"/>
    </row>
    <row r="80" spans="2:13" ht="15.75" customHeight="1" x14ac:dyDescent="0.55000000000000004">
      <c r="B80" s="241"/>
      <c r="C80" s="52"/>
      <c r="D80" s="238" t="e">
        <f>IF(banana!$K$181," / "&amp;banana!$A$181&amp;":"&amp;banana!$K$181,"")&amp;IF(banana!$K$182," / "&amp;banana!$A$182&amp;":"&amp;banana!$K$182,"")&amp;IF(banana!$K$183," / "&amp;banana!$A$183&amp;":"&amp;banana!$K$183,"")&amp;IF(banana!$K$184," / "&amp;banana!$A$184&amp;":"&amp;banana!$K$184,"")&amp;IF(banana!$K$185," / "&amp;banana!$A$185&amp;":"&amp;banana!$K$185,"")&amp;IF(banana!$K$186," / "&amp;banana!$A$186&amp;":"&amp;banana!$K$186,"")&amp;IF(banana!$K$187," / "&amp;banana!$A$187&amp;":"&amp;banana!$K$187,"")&amp;IF(banana!$K$188," / "&amp;banana!$A$188&amp;" "&amp;banana!$B$188&amp;":"&amp;banana!$K$188,"")&amp;IF(banana!$K$190," / "&amp;banana!$A$190&amp;":"&amp;banana!$K$190,"")&amp;IF(banana!$K$191&lt;&gt;""," / "&amp;banana!$A$191&amp;":"&amp;banana!$K$191,"")</f>
        <v>#N/A</v>
      </c>
      <c r="E80" s="238"/>
      <c r="F80" s="238"/>
      <c r="G80" s="238"/>
      <c r="H80" s="238"/>
      <c r="I80" s="238"/>
      <c r="J80" s="238"/>
      <c r="K80" s="236"/>
    </row>
    <row r="81" spans="1:13" ht="9" customHeight="1" x14ac:dyDescent="0.55000000000000004">
      <c r="B81" s="241"/>
      <c r="C81" s="233" t="e">
        <f>IF(banana!$L$68,banana!$L$116,"-")</f>
        <v>#N/A</v>
      </c>
      <c r="D81" s="92" t="e">
        <f>IF(banana!$L$68,banana!$A$155,"")</f>
        <v>#N/A</v>
      </c>
      <c r="E81" s="92" t="e">
        <f>IF(banana!$L$68,banana!$A$177,"")</f>
        <v>#N/A</v>
      </c>
      <c r="F81" s="34"/>
      <c r="G81" s="35"/>
      <c r="H81" s="35"/>
      <c r="I81" s="35"/>
      <c r="J81" s="35"/>
      <c r="K81" s="95" t="e">
        <f>IF(banana!$L$68,banana!$L$166,"")</f>
        <v>#N/A</v>
      </c>
      <c r="L81" s="14"/>
      <c r="M81" s="14"/>
    </row>
    <row r="82" spans="1:13" ht="11.25" customHeight="1" x14ac:dyDescent="0.55000000000000004">
      <c r="B82" s="241"/>
      <c r="C82" s="234"/>
      <c r="D82" s="91" t="e">
        <f>banana!$L$155</f>
        <v>#N/A</v>
      </c>
      <c r="E82" s="237" t="e">
        <f>IF(banana!$L$156," / "&amp;banana!$A$156&amp;":"&amp;banana!$L$156,"")&amp;IF(banana!$L$157," / "&amp;banana!$A$157&amp;":"&amp;banana!$L$157,"")&amp;IF(banana!$L$158," / "&amp;banana!$A$158&amp;":"&amp;banana!$L$158,"")&amp;IF(banana!$L$159," / "&amp;banana!$A$159&amp;":"&amp;banana!$L$159,"")&amp;IF(banana!$L$160," / "&amp;banana!$A$160&amp;":"&amp;banana!$L$160,"")&amp;IF(banana!$L$161," / "&amp;banana!$A$161&amp;":"&amp;banana!$L$161,"")&amp;IF(banana!$L$162," / "&amp;banana!$A$162&amp;":"&amp;banana!$L$162,"")&amp;IF(banana!$L$163," / "&amp;banana!$A$163&amp;":"&amp;banana!$L$163,"")&amp;IF(banana!$L$164," / "&amp;banana!$A$164&amp;":"&amp;banana!$L$164,"")</f>
        <v>#N/A</v>
      </c>
      <c r="F82" s="237"/>
      <c r="G82" s="237"/>
      <c r="H82" s="237"/>
      <c r="I82" s="237"/>
      <c r="J82" s="237"/>
      <c r="K82" s="94" t="e">
        <f>banana!$L$177</f>
        <v>#N/A</v>
      </c>
      <c r="L82" s="14"/>
      <c r="M82" s="14"/>
    </row>
    <row r="83" spans="1:13" ht="8.25" customHeight="1" x14ac:dyDescent="0.55000000000000004">
      <c r="B83" s="241"/>
      <c r="C83" s="18"/>
      <c r="D83" s="93" t="e">
        <f>IF(banana!$L$68,IF(L,"リソース","Resources"),"")</f>
        <v>#N/A</v>
      </c>
      <c r="E83" s="237"/>
      <c r="F83" s="237"/>
      <c r="G83" s="237"/>
      <c r="H83" s="237"/>
      <c r="I83" s="237"/>
      <c r="J83" s="237"/>
      <c r="K83" s="235" t="e">
        <f>banana!$L$179</f>
        <v>#N/A</v>
      </c>
      <c r="L83" s="14"/>
      <c r="M83" s="14"/>
    </row>
    <row r="84" spans="1:13" ht="15.75" customHeight="1" x14ac:dyDescent="0.55000000000000004">
      <c r="B84" s="241"/>
      <c r="C84" s="52"/>
      <c r="D84" s="238" t="e">
        <f>IF(banana!$L$181," / "&amp;banana!$A$181&amp;":"&amp;banana!$L$181,"")&amp;IF(banana!$L$182," / "&amp;banana!$A$182&amp;":"&amp;banana!$L$182,"")&amp;IF(banana!$L$183," / "&amp;banana!$A$183&amp;":"&amp;banana!$L$183,"")&amp;IF(banana!$L$184," / "&amp;banana!$A$184&amp;":"&amp;banana!$L$184,"")&amp;IF(banana!$L$185," / "&amp;banana!$A$185&amp;":"&amp;banana!$L$185,"")&amp;IF(banana!$L$186," / "&amp;banana!$A$186&amp;":"&amp;banana!$L$186,"")&amp;IF(banana!$L$187," / "&amp;banana!$A$187&amp;":"&amp;banana!$L$187,"")&amp;IF(banana!$L$188," / "&amp;banana!$A$188&amp;" "&amp;banana!$B$188&amp;":"&amp;banana!$L$188,"")&amp;IF(banana!$L$190," / "&amp;banana!$A$190&amp;":"&amp;banana!$L$190,"")&amp;IF(banana!$L$191&lt;&gt;""," / "&amp;banana!$A$191&amp;":"&amp;banana!$L$191,"")</f>
        <v>#N/A</v>
      </c>
      <c r="E84" s="238"/>
      <c r="F84" s="238"/>
      <c r="G84" s="238"/>
      <c r="H84" s="238"/>
      <c r="I84" s="238"/>
      <c r="J84" s="238"/>
      <c r="K84" s="236"/>
    </row>
    <row r="85" spans="1:13" ht="9" customHeight="1" x14ac:dyDescent="0.55000000000000004">
      <c r="B85" s="241"/>
      <c r="C85" s="233" t="e">
        <f>IF(banana!$M$68,banana!$M$116,"-")</f>
        <v>#N/A</v>
      </c>
      <c r="D85" s="92" t="e">
        <f>IF(banana!$M$68,banana!$A$155,"")</f>
        <v>#N/A</v>
      </c>
      <c r="E85" s="92" t="e">
        <f>IF(banana!$M$68,banana!$A$177,"")</f>
        <v>#N/A</v>
      </c>
      <c r="F85" s="34"/>
      <c r="G85" s="35"/>
      <c r="H85" s="35"/>
      <c r="I85" s="35"/>
      <c r="J85" s="35"/>
      <c r="K85" s="95" t="e">
        <f>IF(banana!$M$68,banana!$M$166,"")</f>
        <v>#N/A</v>
      </c>
      <c r="L85" s="14"/>
      <c r="M85" s="14"/>
    </row>
    <row r="86" spans="1:13" ht="11.25" customHeight="1" x14ac:dyDescent="0.55000000000000004">
      <c r="B86" s="241"/>
      <c r="C86" s="234"/>
      <c r="D86" s="91" t="e">
        <f>banana!$M$155</f>
        <v>#N/A</v>
      </c>
      <c r="E86" s="237" t="e">
        <f>IF(banana!$M$156," / "&amp;banana!$A$156&amp;":"&amp;banana!$M$156,"")&amp;IF(banana!$M$157," / "&amp;banana!$A$157&amp;":"&amp;banana!$M$157,"")&amp;IF(banana!$M$158," / "&amp;banana!$A$158&amp;":"&amp;banana!$M$158,"")&amp;IF(banana!$M$159," / "&amp;banana!$A$159&amp;":"&amp;banana!$M$159,"")&amp;IF(banana!$M$160," / "&amp;banana!$A$160&amp;":"&amp;banana!$M$160,"")&amp;IF(banana!$M$161," / "&amp;banana!$A$161&amp;":"&amp;banana!$M$161,"")&amp;IF(banana!$M$162," / "&amp;banana!$A$162&amp;":"&amp;banana!$M$162,"")&amp;IF(banana!$M$163," / "&amp;banana!$A$163&amp;":"&amp;banana!$M$163,"")&amp;IF(banana!$M$164," / "&amp;banana!$A$164&amp;":"&amp;banana!$M$164,"")</f>
        <v>#N/A</v>
      </c>
      <c r="F86" s="237"/>
      <c r="G86" s="237"/>
      <c r="H86" s="237"/>
      <c r="I86" s="237"/>
      <c r="J86" s="237"/>
      <c r="K86" s="94" t="e">
        <f>banana!$M$177</f>
        <v>#N/A</v>
      </c>
      <c r="L86" s="14"/>
      <c r="M86" s="14"/>
    </row>
    <row r="87" spans="1:13" ht="8.25" customHeight="1" x14ac:dyDescent="0.55000000000000004">
      <c r="A87" s="25"/>
      <c r="B87" s="241"/>
      <c r="C87" s="18"/>
      <c r="D87" s="93" t="e">
        <f>IF(banana!$M$68,IF(L,"リソース","Resources"),"")</f>
        <v>#N/A</v>
      </c>
      <c r="E87" s="237"/>
      <c r="F87" s="237"/>
      <c r="G87" s="237"/>
      <c r="H87" s="237"/>
      <c r="I87" s="237"/>
      <c r="J87" s="237"/>
      <c r="K87" s="235" t="e">
        <f>banana!$M$179</f>
        <v>#N/A</v>
      </c>
      <c r="L87" s="14"/>
      <c r="M87" s="14"/>
    </row>
    <row r="88" spans="1:13" ht="15.75" customHeight="1" x14ac:dyDescent="0.55000000000000004">
      <c r="A88" s="25"/>
      <c r="B88" s="241"/>
      <c r="C88" s="52"/>
      <c r="D88" s="238" t="e">
        <f>IF(banana!$M$181," / "&amp;banana!$A$181&amp;":"&amp;banana!$M$181,"")&amp;IF(banana!$M$182," / "&amp;banana!$A$182&amp;":"&amp;banana!$M$182,"")&amp;IF(banana!$M$183," / "&amp;banana!$A$183&amp;":"&amp;banana!$M$183,"")&amp;IF(banana!$M$184," / "&amp;banana!$A$184&amp;":"&amp;banana!$M$184,"")&amp;IF(banana!$M$185," / "&amp;banana!$A$185&amp;":"&amp;banana!$M$185,"")&amp;IF(banana!$M$186," / "&amp;banana!$A$186&amp;":"&amp;banana!$M$186,"")&amp;IF(banana!$M$187," / "&amp;banana!$A$187&amp;":"&amp;banana!$M$187,"")&amp;IF(banana!$M$188," / "&amp;banana!$A$188&amp;" "&amp;banana!$B$188&amp;":"&amp;banana!$M$188,"")&amp;IF(banana!$M$190," / "&amp;banana!$A$190&amp;":"&amp;banana!$M$190,"")&amp;IF(banana!$M$191&lt;&gt;""," / "&amp;banana!$A$191&amp;":"&amp;banana!$M$191,"")</f>
        <v>#N/A</v>
      </c>
      <c r="E88" s="238"/>
      <c r="F88" s="238"/>
      <c r="G88" s="238"/>
      <c r="H88" s="238"/>
      <c r="I88" s="238"/>
      <c r="J88" s="238"/>
      <c r="K88" s="236"/>
    </row>
    <row r="89" spans="1:13" ht="9" customHeight="1" x14ac:dyDescent="0.55000000000000004">
      <c r="A89" s="25"/>
      <c r="B89" s="241"/>
      <c r="C89" s="233" t="e">
        <f>IF(banana!$N$68,banana!$N$116,"-")</f>
        <v>#N/A</v>
      </c>
      <c r="D89" s="92" t="e">
        <f>IF(banana!$N$68,banana!$A$155,"")</f>
        <v>#N/A</v>
      </c>
      <c r="E89" s="92" t="e">
        <f>IF(banana!$N$68,banana!$A$177,"")</f>
        <v>#N/A</v>
      </c>
      <c r="F89" s="34"/>
      <c r="G89" s="35"/>
      <c r="H89" s="35"/>
      <c r="I89" s="35"/>
      <c r="J89" s="35"/>
      <c r="K89" s="95" t="e">
        <f>IF(banana!$N$68,banana!$N$166,"")</f>
        <v>#N/A</v>
      </c>
      <c r="L89" s="14"/>
      <c r="M89" s="14"/>
    </row>
    <row r="90" spans="1:13" ht="11.25" customHeight="1" x14ac:dyDescent="0.55000000000000004">
      <c r="A90" s="25"/>
      <c r="B90" s="241"/>
      <c r="C90" s="234"/>
      <c r="D90" s="91" t="e">
        <f>banana!$N$155</f>
        <v>#N/A</v>
      </c>
      <c r="E90" s="237" t="e">
        <f>IF(banana!$N$156," / "&amp;banana!$A$156&amp;":"&amp;banana!$N$156,"")&amp;IF(banana!$N$157," / "&amp;banana!$A$157&amp;":"&amp;banana!$N$157,"")&amp;IF(banana!$N$158," / "&amp;banana!$A$158&amp;":"&amp;banana!$N$158,"")&amp;IF(banana!$N$159," / "&amp;banana!$A$159&amp;":"&amp;banana!$N$159,"")&amp;IF(banana!$N$160," / "&amp;banana!$A$160&amp;":"&amp;banana!$N$160,"")&amp;IF(banana!$N$161," / "&amp;banana!$A$161&amp;":"&amp;banana!$N$161,"")&amp;IF(banana!$N$162," / "&amp;banana!$A$162&amp;":"&amp;banana!$N$162,"")&amp;IF(banana!$N$163," / "&amp;banana!$A$163&amp;":"&amp;banana!$N$163,"")&amp;IF(banana!$N$164," / "&amp;banana!$A$164&amp;":"&amp;banana!$N$164,"")</f>
        <v>#N/A</v>
      </c>
      <c r="F90" s="237"/>
      <c r="G90" s="237"/>
      <c r="H90" s="237"/>
      <c r="I90" s="237"/>
      <c r="J90" s="237"/>
      <c r="K90" s="94" t="e">
        <f>banana!$N$177</f>
        <v>#N/A</v>
      </c>
      <c r="L90" s="14"/>
      <c r="M90" s="14"/>
    </row>
    <row r="91" spans="1:13" ht="8.25" customHeight="1" x14ac:dyDescent="0.55000000000000004">
      <c r="A91" s="25"/>
      <c r="B91" s="241"/>
      <c r="C91" s="18"/>
      <c r="D91" s="93" t="e">
        <f>IF(banana!$N$68,IF(L,"リソース","Resources"),"")</f>
        <v>#N/A</v>
      </c>
      <c r="E91" s="237"/>
      <c r="F91" s="237"/>
      <c r="G91" s="237"/>
      <c r="H91" s="237"/>
      <c r="I91" s="237"/>
      <c r="J91" s="237"/>
      <c r="K91" s="235" t="e">
        <f>banana!$N$179</f>
        <v>#N/A</v>
      </c>
      <c r="L91" s="14"/>
      <c r="M91" s="14"/>
    </row>
    <row r="92" spans="1:13" ht="15.75" customHeight="1" x14ac:dyDescent="0.55000000000000004">
      <c r="A92" s="25"/>
      <c r="B92" s="241"/>
      <c r="C92" s="52"/>
      <c r="D92" s="238" t="e">
        <f>IF(banana!$N$181," / "&amp;banana!$A$181&amp;":"&amp;banana!$N$181,"")&amp;IF(banana!$N$182," / "&amp;banana!$A$182&amp;":"&amp;banana!$N$182,"")&amp;IF(banana!$N$183," / "&amp;banana!$A$183&amp;":"&amp;banana!$N$183,"")&amp;IF(banana!$N$184," / "&amp;banana!$A$184&amp;":"&amp;banana!$N$184,"")&amp;IF(banana!$N$185," / "&amp;banana!$A$185&amp;":"&amp;banana!$N$185,"")&amp;IF(banana!$N$186," / "&amp;banana!$A$186&amp;":"&amp;banana!$N$186,"")&amp;IF(banana!$N$187," / "&amp;banana!$A$187&amp;":"&amp;banana!$N$187,"")&amp;IF(banana!$N$188," / "&amp;banana!$A$188&amp;" "&amp;banana!$B$188&amp;":"&amp;banana!$N$188,"")&amp;IF(banana!$N$190," / "&amp;banana!$A$190&amp;":"&amp;banana!$N$190,"")&amp;IF(banana!$N$191&lt;&gt;""," / "&amp;banana!$A$191&amp;":"&amp;banana!$N$191,"")</f>
        <v>#N/A</v>
      </c>
      <c r="E92" s="238"/>
      <c r="F92" s="238"/>
      <c r="G92" s="238"/>
      <c r="H92" s="238"/>
      <c r="I92" s="238"/>
      <c r="J92" s="238"/>
      <c r="K92" s="236"/>
    </row>
    <row r="93" spans="1:13" ht="9" customHeight="1" x14ac:dyDescent="0.55000000000000004">
      <c r="A93" s="25"/>
      <c r="B93" s="241"/>
      <c r="C93" s="233" t="e">
        <f>IF(banana!$O$68,banana!$O$116,"-")</f>
        <v>#N/A</v>
      </c>
      <c r="D93" s="92" t="e">
        <f>IF(banana!$O$68,banana!$A$155,"")</f>
        <v>#N/A</v>
      </c>
      <c r="E93" s="92" t="e">
        <f>IF(banana!$O$68,banana!$A$177,"")</f>
        <v>#N/A</v>
      </c>
      <c r="F93" s="34"/>
      <c r="G93" s="35"/>
      <c r="H93" s="35"/>
      <c r="I93" s="35"/>
      <c r="J93" s="35"/>
      <c r="K93" s="95" t="e">
        <f>IF(banana!$O$68,banana!$O$166,"")</f>
        <v>#N/A</v>
      </c>
      <c r="L93" s="14"/>
      <c r="M93" s="14"/>
    </row>
    <row r="94" spans="1:13" ht="11.25" customHeight="1" x14ac:dyDescent="0.55000000000000004">
      <c r="A94" s="25"/>
      <c r="B94" s="241"/>
      <c r="C94" s="234"/>
      <c r="D94" s="91" t="e">
        <f>banana!$O$155</f>
        <v>#N/A</v>
      </c>
      <c r="E94" s="237" t="e">
        <f>IF(banana!$O$156," / "&amp;banana!$A$156&amp;":"&amp;banana!$O$156,"")&amp;IF(banana!$O$157," / "&amp;banana!$A$157&amp;":"&amp;banana!$O$157,"")&amp;IF(banana!$O$158," / "&amp;banana!$A$158&amp;":"&amp;banana!$O$158,"")&amp;IF(banana!$O$159," / "&amp;banana!$A$159&amp;":"&amp;banana!$O$159,"")&amp;IF(banana!$O$160," / "&amp;banana!$A$160&amp;":"&amp;banana!$O$160,"")&amp;IF(banana!$O$161," / "&amp;banana!$A$161&amp;":"&amp;banana!$O$161,"")&amp;IF(banana!$O$162," / "&amp;banana!$A$162&amp;":"&amp;banana!$O$162,"")&amp;IF(banana!$O$163," / "&amp;banana!$A$163&amp;":"&amp;banana!$O$163,"")&amp;IF(banana!$O$164," / "&amp;banana!$A$164&amp;":"&amp;banana!$O$164,"")</f>
        <v>#N/A</v>
      </c>
      <c r="F94" s="237"/>
      <c r="G94" s="237"/>
      <c r="H94" s="237"/>
      <c r="I94" s="237"/>
      <c r="J94" s="237"/>
      <c r="K94" s="94" t="e">
        <f>banana!$O$177</f>
        <v>#N/A</v>
      </c>
      <c r="L94" s="14"/>
      <c r="M94" s="14"/>
    </row>
    <row r="95" spans="1:13" ht="8.25" customHeight="1" x14ac:dyDescent="0.55000000000000004">
      <c r="A95" s="25"/>
      <c r="B95" s="241"/>
      <c r="C95" s="18"/>
      <c r="D95" s="93" t="e">
        <f>IF(banana!$O$68,IF(L,"リソース","Resources"),"")</f>
        <v>#N/A</v>
      </c>
      <c r="E95" s="237"/>
      <c r="F95" s="237"/>
      <c r="G95" s="237"/>
      <c r="H95" s="237"/>
      <c r="I95" s="237"/>
      <c r="J95" s="237"/>
      <c r="K95" s="235" t="e">
        <f>banana!$O$179</f>
        <v>#N/A</v>
      </c>
      <c r="L95" s="14"/>
      <c r="M95" s="14"/>
    </row>
    <row r="96" spans="1:13" ht="15.75" customHeight="1" x14ac:dyDescent="0.55000000000000004">
      <c r="A96" s="25"/>
      <c r="B96" s="241"/>
      <c r="C96" s="52"/>
      <c r="D96" s="238" t="e">
        <f>IF(banana!$O$181," / "&amp;banana!$A$181&amp;":"&amp;banana!$O$181,"")&amp;IF(banana!$O$182," / "&amp;banana!$A$182&amp;":"&amp;banana!$O$182,"")&amp;IF(banana!$O$183," / "&amp;banana!$A$183&amp;":"&amp;banana!$O$183,"")&amp;IF(banana!$O$184," / "&amp;banana!$A$184&amp;":"&amp;banana!$O$184,"")&amp;IF(banana!$O$185," / "&amp;banana!$A$185&amp;":"&amp;banana!$O$185,"")&amp;IF(banana!$O$186," / "&amp;banana!$A$186&amp;":"&amp;banana!$O$186,"")&amp;IF(banana!$O$187," / "&amp;banana!$A$187&amp;":"&amp;banana!$O$187,"")&amp;IF(banana!$O$188," / "&amp;banana!$A$188&amp;" "&amp;banana!$B$188&amp;":"&amp;banana!$O$188,"")&amp;IF(banana!$O$190," / "&amp;banana!$A$190&amp;":"&amp;banana!$O$190,"")&amp;IF(banana!$O$191&lt;&gt;""," / "&amp;banana!$A$191&amp;":"&amp;banana!$O$191,"")</f>
        <v>#N/A</v>
      </c>
      <c r="E96" s="238"/>
      <c r="F96" s="238"/>
      <c r="G96" s="238"/>
      <c r="H96" s="238"/>
      <c r="I96" s="238"/>
      <c r="J96" s="238"/>
      <c r="K96" s="236"/>
    </row>
    <row r="97" spans="1:13" ht="9" customHeight="1" x14ac:dyDescent="0.55000000000000004">
      <c r="A97" s="25"/>
      <c r="B97" s="241"/>
      <c r="C97" s="233" t="e">
        <f>IF(banana!$P$68,banana!$P$116,"-")</f>
        <v>#N/A</v>
      </c>
      <c r="D97" s="92" t="e">
        <f>IF(banana!$P$68,banana!$A$155,"")</f>
        <v>#N/A</v>
      </c>
      <c r="E97" s="92" t="e">
        <f>IF(banana!$P$68,banana!$A$177,"")</f>
        <v>#N/A</v>
      </c>
      <c r="F97" s="34"/>
      <c r="G97" s="35"/>
      <c r="H97" s="35"/>
      <c r="I97" s="35"/>
      <c r="J97" s="35"/>
      <c r="K97" s="95" t="e">
        <f>IF(banana!$P$68,banana!$P$166,"")</f>
        <v>#N/A</v>
      </c>
      <c r="L97" s="14"/>
      <c r="M97" s="14"/>
    </row>
    <row r="98" spans="1:13" ht="11.25" customHeight="1" x14ac:dyDescent="0.55000000000000004">
      <c r="A98" s="25"/>
      <c r="B98" s="241"/>
      <c r="C98" s="234"/>
      <c r="D98" s="91" t="e">
        <f>banana!$P$155</f>
        <v>#N/A</v>
      </c>
      <c r="E98" s="237" t="e">
        <f>IF(banana!$P$156," / "&amp;banana!$A$156&amp;":"&amp;banana!$P$156,"")&amp;IF(banana!$P$157," / "&amp;banana!$A$157&amp;":"&amp;banana!$P$157,"")&amp;IF(banana!$P$158," / "&amp;banana!$A$158&amp;":"&amp;banana!$P$158,"")&amp;IF(banana!$P$159," / "&amp;banana!$A$159&amp;":"&amp;banana!$P$159,"")&amp;IF(banana!$P$160," / "&amp;banana!$A$160&amp;":"&amp;banana!$P$160,"")&amp;IF(banana!$P$161," / "&amp;banana!$A$161&amp;":"&amp;banana!$P$161,"")&amp;IF(banana!$P$162," / "&amp;banana!$A$162&amp;":"&amp;banana!$P$162,"")&amp;IF(banana!$P$163," / "&amp;banana!$A$163&amp;":"&amp;banana!$P$163,"")&amp;IF(banana!$PF$164," / "&amp;banana!$A$164&amp;":"&amp;banana!$P$164,"")</f>
        <v>#N/A</v>
      </c>
      <c r="F98" s="237"/>
      <c r="G98" s="237"/>
      <c r="H98" s="237"/>
      <c r="I98" s="237"/>
      <c r="J98" s="237"/>
      <c r="K98" s="94" t="e">
        <f>banana!$P$177</f>
        <v>#N/A</v>
      </c>
      <c r="L98" s="14"/>
      <c r="M98" s="14"/>
    </row>
    <row r="99" spans="1:13" ht="8.25" customHeight="1" x14ac:dyDescent="0.55000000000000004">
      <c r="A99" s="25"/>
      <c r="B99" s="241"/>
      <c r="C99" s="18"/>
      <c r="D99" s="93" t="e">
        <f>IF(banana!$P$68,IF(L,"リソース","Resources"),"")</f>
        <v>#N/A</v>
      </c>
      <c r="E99" s="237"/>
      <c r="F99" s="237"/>
      <c r="G99" s="237"/>
      <c r="H99" s="237"/>
      <c r="I99" s="237"/>
      <c r="J99" s="237"/>
      <c r="K99" s="235" t="e">
        <f>banana!$P$179</f>
        <v>#N/A</v>
      </c>
      <c r="L99" s="14"/>
      <c r="M99" s="14"/>
    </row>
    <row r="100" spans="1:13" ht="15.75" customHeight="1" x14ac:dyDescent="0.55000000000000004">
      <c r="A100" s="25"/>
      <c r="B100" s="242"/>
      <c r="C100" s="24"/>
      <c r="D100" s="243" t="e">
        <f>IF(banana!$P$181," / "&amp;banana!$A$181&amp;":"&amp;banana!$P$181,"")&amp;IF(banana!$P$182," / "&amp;banana!$A$182&amp;":"&amp;banana!$P$182,"")&amp;IF(banana!$P$183," / "&amp;banana!$A$183&amp;":"&amp;banana!$P$183,"")&amp;IF(banana!$P$184," / "&amp;banana!$A$184&amp;":"&amp;banana!$P$184,"")&amp;IF(banana!$P$185," / "&amp;banana!$A$185&amp;":"&amp;banana!$P$185,"")&amp;IF(banana!$P$186," / "&amp;banana!$A$186&amp;":"&amp;banana!$P$186,"")&amp;IF(banana!$P$187," / "&amp;banana!$A$187&amp;":"&amp;banana!$P$187,"")&amp;IF(banana!$P$188," / "&amp;banana!$A$188&amp;" "&amp;banana!$B$188&amp;":"&amp;banana!$P$188,"")&amp;IF(banana!$P$190," / "&amp;banana!$A$190&amp;":"&amp;banana!$P$190,"")&amp;IF(banana!$P$191&lt;&gt;""," / "&amp;banana!$A$191&amp;":"&amp;banana!$P$191,"")</f>
        <v>#N/A</v>
      </c>
      <c r="E100" s="243"/>
      <c r="F100" s="243"/>
      <c r="G100" s="243"/>
      <c r="H100" s="243"/>
      <c r="I100" s="243"/>
      <c r="J100" s="243"/>
      <c r="K100" s="244"/>
    </row>
    <row r="101" spans="1:13" ht="3.75" customHeight="1" x14ac:dyDescent="0.55000000000000004"/>
    <row r="102" spans="1:13" ht="9.75" customHeight="1" x14ac:dyDescent="0.55000000000000004">
      <c r="B102" s="239" t="e">
        <f>TEXT('Input sheet 1'!B12:E12,"yyyy/m/d") &amp;" "&amp;'Input sheet 1'!$C$110&amp;" "&amp;'Input sheet 1'!$C$130&amp;" "&amp;banana!F221</f>
        <v>#N/A</v>
      </c>
      <c r="C102" s="239"/>
      <c r="D102" s="239"/>
      <c r="E102" s="239"/>
      <c r="F102" s="239"/>
      <c r="G102" s="239"/>
      <c r="H102" s="239"/>
      <c r="I102" s="239"/>
      <c r="J102" s="239"/>
      <c r="K102" s="239"/>
      <c r="L102" s="239"/>
    </row>
  </sheetData>
  <sheetProtection sheet="1" objects="1" scenarios="1"/>
  <mergeCells count="100">
    <mergeCell ref="M1:O1"/>
    <mergeCell ref="A1:D1"/>
    <mergeCell ref="D15:E15"/>
    <mergeCell ref="F15:H15"/>
    <mergeCell ref="I15:L15"/>
    <mergeCell ref="E7:L7"/>
    <mergeCell ref="E8:L8"/>
    <mergeCell ref="C2:L2"/>
    <mergeCell ref="B6:C10"/>
    <mergeCell ref="B12:C20"/>
    <mergeCell ref="J3:L3"/>
    <mergeCell ref="D5:L5"/>
    <mergeCell ref="G1:H1"/>
    <mergeCell ref="I1:J1"/>
    <mergeCell ref="K1:L1"/>
    <mergeCell ref="F25:I25"/>
    <mergeCell ref="J25:L25"/>
    <mergeCell ref="I27:J27"/>
    <mergeCell ref="J17:L17"/>
    <mergeCell ref="E18:L18"/>
    <mergeCell ref="I19:J19"/>
    <mergeCell ref="E20:L20"/>
    <mergeCell ref="D23:E23"/>
    <mergeCell ref="F23:H23"/>
    <mergeCell ref="I23:L23"/>
    <mergeCell ref="D17:E17"/>
    <mergeCell ref="F17:I17"/>
    <mergeCell ref="D31:E31"/>
    <mergeCell ref="F31:H31"/>
    <mergeCell ref="I31:L31"/>
    <mergeCell ref="E26:L26"/>
    <mergeCell ref="C61:C62"/>
    <mergeCell ref="E36:F36"/>
    <mergeCell ref="H36:L36"/>
    <mergeCell ref="D37:L37"/>
    <mergeCell ref="B41:C45"/>
    <mergeCell ref="B36:C39"/>
    <mergeCell ref="B22:C28"/>
    <mergeCell ref="B30:C34"/>
    <mergeCell ref="E32:L32"/>
    <mergeCell ref="E34:L34"/>
    <mergeCell ref="E28:L28"/>
    <mergeCell ref="C57:C58"/>
    <mergeCell ref="G38:L38"/>
    <mergeCell ref="E39:L39"/>
    <mergeCell ref="E38:F38"/>
    <mergeCell ref="C53:C54"/>
    <mergeCell ref="K55:K56"/>
    <mergeCell ref="D45:E45"/>
    <mergeCell ref="F45:G45"/>
    <mergeCell ref="H45:I45"/>
    <mergeCell ref="E54:J55"/>
    <mergeCell ref="D56:J56"/>
    <mergeCell ref="C50:G50"/>
    <mergeCell ref="I50:J50"/>
    <mergeCell ref="D52:J52"/>
    <mergeCell ref="E58:J59"/>
    <mergeCell ref="D60:J60"/>
    <mergeCell ref="E62:J63"/>
    <mergeCell ref="E98:J99"/>
    <mergeCell ref="K63:K64"/>
    <mergeCell ref="D64:J64"/>
    <mergeCell ref="D100:J100"/>
    <mergeCell ref="K59:K60"/>
    <mergeCell ref="K91:K92"/>
    <mergeCell ref="K75:K76"/>
    <mergeCell ref="C93:C94"/>
    <mergeCell ref="C81:C82"/>
    <mergeCell ref="K83:K84"/>
    <mergeCell ref="C85:C86"/>
    <mergeCell ref="K87:K88"/>
    <mergeCell ref="E82:J83"/>
    <mergeCell ref="D84:J84"/>
    <mergeCell ref="K99:K100"/>
    <mergeCell ref="K95:K96"/>
    <mergeCell ref="C89:C90"/>
    <mergeCell ref="C77:C78"/>
    <mergeCell ref="K79:K80"/>
    <mergeCell ref="B102:L102"/>
    <mergeCell ref="B50:B100"/>
    <mergeCell ref="E86:J87"/>
    <mergeCell ref="D88:J88"/>
    <mergeCell ref="E90:J91"/>
    <mergeCell ref="D92:J92"/>
    <mergeCell ref="E94:J95"/>
    <mergeCell ref="D96:J96"/>
    <mergeCell ref="E70:J71"/>
    <mergeCell ref="D72:J72"/>
    <mergeCell ref="E74:J75"/>
    <mergeCell ref="D76:J76"/>
    <mergeCell ref="E78:J79"/>
    <mergeCell ref="D80:J80"/>
    <mergeCell ref="C97:C98"/>
    <mergeCell ref="C73:C74"/>
    <mergeCell ref="C65:C66"/>
    <mergeCell ref="K67:K68"/>
    <mergeCell ref="C69:C70"/>
    <mergeCell ref="K71:K72"/>
    <mergeCell ref="E66:J67"/>
    <mergeCell ref="D68:J68"/>
  </mergeCells>
  <phoneticPr fontId="2"/>
  <hyperlinks>
    <hyperlink ref="G1" location="'Input sheet 2'!A1" display="Input Sheet 2"/>
    <hyperlink ref="I1" location="'Input sheet 3'!A1" display="Input Sheet 3"/>
    <hyperlink ref="K1" location="'Input sheet 4'!A1" display="Input Sheet 4"/>
    <hyperlink ref="A1" location="Notes!A1" display="Notes"/>
    <hyperlink ref="E1" location="'Input sheet 1'!A1" display="Input Sheet 1"/>
  </hyperlinks>
  <pageMargins left="0.25" right="0.25" top="0.75" bottom="0.75" header="0.3" footer="0.3"/>
  <pageSetup paperSize="9" scale="99" orientation="portrait" horizontalDpi="1200" verticalDpi="1200" r:id="rId1"/>
  <rowBreaks count="1" manualBreakCount="1">
    <brk id="45" min="1" max="12"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A345"/>
  <sheetViews>
    <sheetView workbookViewId="0">
      <selection activeCell="H34" sqref="H34"/>
    </sheetView>
  </sheetViews>
  <sheetFormatPr defaultRowHeight="18" x14ac:dyDescent="0.55000000000000004"/>
  <cols>
    <col min="1" max="17" width="9" customWidth="1"/>
  </cols>
  <sheetData>
    <row r="1" spans="1:5" x14ac:dyDescent="0.55000000000000004">
      <c r="A1" t="str">
        <f>A2&amp;A3</f>
        <v>東京大学医科学研究所ヒトゲノム解析センター計算機システム</v>
      </c>
      <c r="B1" t="str">
        <f>B3&amp;B2</f>
        <v>Supercomputer System of Human Genome Center, The Institute of Medical Science, The University of Tokyo</v>
      </c>
      <c r="C1" t="str">
        <f>IF(L,A1,B1)</f>
        <v>東京大学医科学研究所ヒトゲノム解析センター計算機システム</v>
      </c>
    </row>
    <row r="2" spans="1:5" x14ac:dyDescent="0.55000000000000004">
      <c r="A2" t="s">
        <v>54</v>
      </c>
      <c r="B2" t="s">
        <v>92</v>
      </c>
      <c r="C2" t="str">
        <f>IF(L,A2,B2)</f>
        <v>東京大学医科学研究所ヒトゲノム解析センター</v>
      </c>
    </row>
    <row r="3" spans="1:5" x14ac:dyDescent="0.55000000000000004">
      <c r="A3" t="s">
        <v>55</v>
      </c>
      <c r="B3" t="s">
        <v>56</v>
      </c>
      <c r="C3" t="str">
        <f>IF(L,A3,B3)</f>
        <v>計算機システム</v>
      </c>
    </row>
    <row r="5" spans="1:5" x14ac:dyDescent="0.55000000000000004">
      <c r="A5" t="s">
        <v>1</v>
      </c>
      <c r="B5" t="b">
        <f>NOT(EXACT('Input sheet 1'!B7,lang_E))</f>
        <v>1</v>
      </c>
    </row>
    <row r="6" spans="1:5" x14ac:dyDescent="0.55000000000000004">
      <c r="A6" t="s">
        <v>2</v>
      </c>
    </row>
    <row r="8" spans="1:5" x14ac:dyDescent="0.55000000000000004">
      <c r="A8" t="s">
        <v>24</v>
      </c>
      <c r="B8" t="s">
        <v>27</v>
      </c>
      <c r="C8" t="str">
        <f>IF(L,A8,B8)</f>
        <v>熟読しました</v>
      </c>
      <c r="D8" t="b">
        <f>OR(EXACT('Input sheet 1'!B19,A8),EXACT('Input sheet 1'!B19,B8))</f>
        <v>0</v>
      </c>
    </row>
    <row r="9" spans="1:5" x14ac:dyDescent="0.55000000000000004">
      <c r="A9" t="s">
        <v>25</v>
      </c>
      <c r="B9" t="s">
        <v>26</v>
      </c>
      <c r="C9" t="str">
        <f>IF(L,A9,B9)</f>
        <v>熟読していません</v>
      </c>
    </row>
    <row r="11" spans="1:5" x14ac:dyDescent="0.55000000000000004">
      <c r="A11" t="s">
        <v>28</v>
      </c>
      <c r="B11" t="s">
        <v>30</v>
      </c>
      <c r="C11" t="str">
        <f>IF(L,A11,B11)</f>
        <v>同意します</v>
      </c>
      <c r="D11" t="b">
        <f>OR(EXACT('Input sheet 1'!B25,A11),EXACT('Input sheet 1'!B25,B11))</f>
        <v>0</v>
      </c>
    </row>
    <row r="12" spans="1:5" x14ac:dyDescent="0.55000000000000004">
      <c r="A12" t="s">
        <v>29</v>
      </c>
      <c r="B12" t="s">
        <v>31</v>
      </c>
      <c r="C12" t="str">
        <f>IF(L,A12,B12)</f>
        <v>同意しません</v>
      </c>
    </row>
    <row r="13" spans="1:5" x14ac:dyDescent="0.55000000000000004">
      <c r="D13" s="1"/>
      <c r="E13" s="1"/>
    </row>
    <row r="14" spans="1:5" x14ac:dyDescent="0.55000000000000004">
      <c r="A14" t="s">
        <v>32</v>
      </c>
      <c r="B14" t="s">
        <v>34</v>
      </c>
      <c r="C14" t="str">
        <f>IF(L,A14,B14)</f>
        <v>利用</v>
      </c>
      <c r="D14" t="b">
        <f>OR(EXACT(APPSEC,A14),EXACT(APPSEC,B14))</f>
        <v>0</v>
      </c>
    </row>
    <row r="15" spans="1:5" x14ac:dyDescent="0.55000000000000004">
      <c r="A15" t="s">
        <v>33</v>
      </c>
      <c r="B15" t="s">
        <v>35</v>
      </c>
      <c r="C15" t="str">
        <f>IF(L,A15,B15)</f>
        <v>停止</v>
      </c>
      <c r="D15" t="b">
        <f>OR(EXACT(APPSEC,A15),EXACT(APPSEC,B15))</f>
        <v>0</v>
      </c>
    </row>
    <row r="16" spans="1:5" x14ac:dyDescent="0.55000000000000004">
      <c r="A16" t="s">
        <v>181</v>
      </c>
      <c r="B16" t="s">
        <v>182</v>
      </c>
      <c r="C16" t="str">
        <f>IF(L,A16,B16)</f>
        <v>見積</v>
      </c>
      <c r="D16" t="b">
        <f>OR(EXACT(APPSEC,A16),EXACT(APPSEC,B16))</f>
        <v>0</v>
      </c>
    </row>
    <row r="18" spans="1:7" x14ac:dyDescent="0.55000000000000004">
      <c r="A18" t="s">
        <v>36</v>
      </c>
      <c r="B18" t="s">
        <v>41</v>
      </c>
      <c r="C18" t="str">
        <f>IF(L,A18,B18)</f>
        <v>学術</v>
      </c>
      <c r="D18" t="s">
        <v>5</v>
      </c>
      <c r="E18">
        <f>IF(OR(EXACT('Input sheet 1'!B38,A18),EXACT('Input sheet 1'!B38,B18)),1,IF(OR(EXACT('Input sheet 1'!B38,A20),EXACT('Input sheet 1'!B38,B20)),4,2))</f>
        <v>2</v>
      </c>
      <c r="F18" t="str">
        <f>IF(OR(EXACT('Input sheet 1'!B38,A18),EXACT('Input sheet 1'!B38,B18)),D18,IF(OR(EXACT('Input sheet 1'!B38,A20),EXACT('Input sheet 1'!B38,B20)),D20,D19))</f>
        <v>H</v>
      </c>
      <c r="G18" t="str">
        <f>IF(OR(EXACT('Input sheet 1'!B38,A18),EXACT('Input sheet 1'!B38,B18)),C18,IF(OR(EXACT('Input sheet 1'!B38,A20),EXACT('Input sheet 1'!B38,B20)),C20,IF(OR(EXACT('Input sheet 1'!B38,A19),EXACT('Input sheet 1'!B38,B19)),C19,"")))</f>
        <v/>
      </c>
    </row>
    <row r="19" spans="1:7" x14ac:dyDescent="0.55000000000000004">
      <c r="A19" t="s">
        <v>37</v>
      </c>
      <c r="B19" t="s">
        <v>40</v>
      </c>
      <c r="C19" t="str">
        <f>IF(L,A19,B19)</f>
        <v>民間</v>
      </c>
      <c r="D19" t="s">
        <v>6</v>
      </c>
    </row>
    <row r="20" spans="1:7" x14ac:dyDescent="0.55000000000000004">
      <c r="A20" t="s">
        <v>38</v>
      </c>
      <c r="B20" t="s">
        <v>39</v>
      </c>
      <c r="C20" t="str">
        <f>IF(L,A20,B20)</f>
        <v>特別</v>
      </c>
      <c r="D20" t="s">
        <v>7</v>
      </c>
    </row>
    <row r="22" spans="1:7" x14ac:dyDescent="0.55000000000000004">
      <c r="A22" t="s">
        <v>42</v>
      </c>
      <c r="B22" t="s">
        <v>3</v>
      </c>
      <c r="C22" t="str">
        <f>IF(L,A22,B22)</f>
        <v>はい</v>
      </c>
      <c r="D22" t="b">
        <f>OR(EXACT('Input sheet 1'!C158,A22),EXACT('Input sheet 1'!C158,B22))</f>
        <v>0</v>
      </c>
    </row>
    <row r="23" spans="1:7" x14ac:dyDescent="0.55000000000000004">
      <c r="A23" t="s">
        <v>43</v>
      </c>
      <c r="B23" t="s">
        <v>4</v>
      </c>
      <c r="C23" t="str">
        <f>IF(L,A23,B23)</f>
        <v>いいえ</v>
      </c>
    </row>
    <row r="25" spans="1:7" x14ac:dyDescent="0.55000000000000004">
      <c r="A25" t="s">
        <v>44</v>
      </c>
      <c r="B25" t="s">
        <v>45</v>
      </c>
      <c r="C25" t="str">
        <f>IF(L,A25,B25)</f>
        <v>利用者</v>
      </c>
    </row>
    <row r="26" spans="1:7" x14ac:dyDescent="0.55000000000000004">
      <c r="A26" t="s">
        <v>175</v>
      </c>
      <c r="B26" t="s">
        <v>178</v>
      </c>
      <c r="C26" t="str">
        <f>IF(L,A26,B26)</f>
        <v>まとめ利用者</v>
      </c>
    </row>
    <row r="27" spans="1:7" x14ac:dyDescent="0.55000000000000004">
      <c r="A27" t="s">
        <v>46</v>
      </c>
      <c r="B27" t="s">
        <v>176</v>
      </c>
      <c r="C27" t="str">
        <f>IF(L,A27,B27)</f>
        <v>研究責任者</v>
      </c>
    </row>
    <row r="28" spans="1:7" x14ac:dyDescent="0.55000000000000004">
      <c r="A28" t="s">
        <v>47</v>
      </c>
      <c r="B28" t="s">
        <v>177</v>
      </c>
      <c r="C28" t="str">
        <f>IF(L,A28,B28)</f>
        <v>経理責任者</v>
      </c>
    </row>
    <row r="29" spans="1:7" x14ac:dyDescent="0.55000000000000004">
      <c r="A29" t="s">
        <v>48</v>
      </c>
      <c r="B29" t="s">
        <v>49</v>
      </c>
      <c r="C29" t="str">
        <f>IF(L,A29,B29)</f>
        <v>その他 (下に記入)</v>
      </c>
    </row>
    <row r="31" spans="1:7" x14ac:dyDescent="0.55000000000000004">
      <c r="A31" t="s">
        <v>50</v>
      </c>
      <c r="B31" t="s">
        <v>52</v>
      </c>
      <c r="C31" t="str">
        <f>IF(L,A31,B31)</f>
        <v>一括払い</v>
      </c>
      <c r="D31" t="b">
        <f>OR(EXACT('Input sheet 2'!C71,A31),EXACT('Input sheet 2'!C71,B31))</f>
        <v>0</v>
      </c>
    </row>
    <row r="32" spans="1:7" x14ac:dyDescent="0.55000000000000004">
      <c r="A32" t="s">
        <v>51</v>
      </c>
      <c r="B32" t="s">
        <v>53</v>
      </c>
      <c r="C32" t="str">
        <f>IF(L,A32,B32)</f>
        <v>月々後払い</v>
      </c>
    </row>
    <row r="34" spans="1:18" x14ac:dyDescent="0.55000000000000004">
      <c r="A34">
        <v>2025</v>
      </c>
      <c r="B34" s="130">
        <f>'Input sheet 3'!E8 - 2019</f>
        <v>-2019</v>
      </c>
      <c r="D34" s="193" t="b">
        <f ca="1">TODAY()&lt;E34</f>
        <v>1</v>
      </c>
      <c r="E34" s="193">
        <v>46112</v>
      </c>
      <c r="F34" t="s">
        <v>183</v>
      </c>
      <c r="H34" t="s">
        <v>189</v>
      </c>
      <c r="I34" t="s">
        <v>184</v>
      </c>
      <c r="J34" t="str">
        <f ca="1">IF(NOT(D34),IF(L,H34,I34),"")</f>
        <v/>
      </c>
    </row>
    <row r="35" spans="1:18" x14ac:dyDescent="0.55000000000000004">
      <c r="A35">
        <v>2026</v>
      </c>
    </row>
    <row r="36" spans="1:18" x14ac:dyDescent="0.55000000000000004">
      <c r="J36" t="s">
        <v>9</v>
      </c>
      <c r="K36" t="s">
        <v>10</v>
      </c>
      <c r="L36" t="s">
        <v>11</v>
      </c>
      <c r="M36" t="s">
        <v>17</v>
      </c>
      <c r="N36" t="s">
        <v>12</v>
      </c>
      <c r="O36" t="s">
        <v>13</v>
      </c>
      <c r="P36" t="s">
        <v>14</v>
      </c>
      <c r="Q36" t="s">
        <v>185</v>
      </c>
      <c r="R36" t="s">
        <v>191</v>
      </c>
    </row>
    <row r="37" spans="1:18" x14ac:dyDescent="0.55000000000000004">
      <c r="A37" t="s">
        <v>8</v>
      </c>
      <c r="B37" t="s">
        <v>57</v>
      </c>
      <c r="C37" t="s">
        <v>59</v>
      </c>
      <c r="D37" t="s">
        <v>58</v>
      </c>
      <c r="E37" t="str">
        <f>IF(L,IF(E18=1,A37,B37),IF(E18=1,C37,D37))</f>
        <v>試用</v>
      </c>
      <c r="F37">
        <v>0</v>
      </c>
      <c r="G37">
        <f t="shared" ref="G37:G46" si="0">F37*E$18</f>
        <v>0</v>
      </c>
      <c r="H37">
        <f>G37/12</f>
        <v>0</v>
      </c>
      <c r="J37">
        <v>0.1</v>
      </c>
      <c r="K37">
        <v>0</v>
      </c>
      <c r="L37">
        <v>160</v>
      </c>
      <c r="M37">
        <v>0</v>
      </c>
      <c r="N37">
        <v>40</v>
      </c>
      <c r="O37">
        <v>0</v>
      </c>
      <c r="P37">
        <v>0</v>
      </c>
      <c r="Q37">
        <v>0</v>
      </c>
      <c r="R37">
        <v>0</v>
      </c>
    </row>
    <row r="38" spans="1:18" x14ac:dyDescent="0.55000000000000004">
      <c r="A38" s="28">
        <v>1</v>
      </c>
      <c r="B38" t="str">
        <f>D$18&amp;A38</f>
        <v>D1</v>
      </c>
      <c r="C38" t="str">
        <f>D$19&amp;A38</f>
        <v>H1</v>
      </c>
      <c r="D38" t="str">
        <f>D$20&amp;A38</f>
        <v>S1</v>
      </c>
      <c r="E38" t="str">
        <f>F$18&amp;"1"</f>
        <v>H1</v>
      </c>
      <c r="F38">
        <v>54000</v>
      </c>
      <c r="G38">
        <f t="shared" si="0"/>
        <v>108000</v>
      </c>
      <c r="H38">
        <f>G38/12</f>
        <v>9000</v>
      </c>
      <c r="J38">
        <v>2</v>
      </c>
      <c r="K38">
        <v>4</v>
      </c>
      <c r="L38">
        <v>2072</v>
      </c>
      <c r="M38">
        <v>0</v>
      </c>
      <c r="N38">
        <v>446</v>
      </c>
      <c r="O38">
        <v>8</v>
      </c>
      <c r="P38">
        <v>0</v>
      </c>
      <c r="Q38">
        <v>0</v>
      </c>
      <c r="R38">
        <v>0</v>
      </c>
    </row>
    <row r="39" spans="1:18" x14ac:dyDescent="0.55000000000000004">
      <c r="A39" s="28">
        <v>2</v>
      </c>
      <c r="B39" t="str">
        <f t="shared" ref="B39:B46" si="1">D$18&amp;A39</f>
        <v>D2</v>
      </c>
      <c r="C39" t="str">
        <f t="shared" ref="C39:C46" si="2">D$19&amp;A39</f>
        <v>H2</v>
      </c>
      <c r="D39" t="str">
        <f t="shared" ref="D39:D46" si="3">D$20&amp;A39</f>
        <v>S2</v>
      </c>
      <c r="E39" t="str">
        <f>F$18&amp;"2"</f>
        <v>H2</v>
      </c>
      <c r="F39">
        <v>108000</v>
      </c>
      <c r="G39">
        <f t="shared" si="0"/>
        <v>216000</v>
      </c>
      <c r="H39">
        <f t="shared" ref="H39:H55" si="4">G39/12</f>
        <v>18000</v>
      </c>
      <c r="J39">
        <v>2</v>
      </c>
      <c r="K39">
        <v>8</v>
      </c>
      <c r="L39">
        <v>3312</v>
      </c>
      <c r="M39">
        <v>0</v>
      </c>
      <c r="N39">
        <v>756</v>
      </c>
      <c r="O39">
        <v>8</v>
      </c>
      <c r="P39">
        <v>0</v>
      </c>
      <c r="Q39">
        <v>0</v>
      </c>
      <c r="R39">
        <v>0</v>
      </c>
    </row>
    <row r="40" spans="1:18" x14ac:dyDescent="0.55000000000000004">
      <c r="A40" s="28">
        <v>3</v>
      </c>
      <c r="B40" t="str">
        <f t="shared" si="1"/>
        <v>D3</v>
      </c>
      <c r="C40" t="str">
        <f t="shared" si="2"/>
        <v>H3</v>
      </c>
      <c r="D40" t="str">
        <f t="shared" si="3"/>
        <v>S3</v>
      </c>
      <c r="E40" t="str">
        <f>F$18&amp;"3"</f>
        <v>H3</v>
      </c>
      <c r="F40">
        <v>180000</v>
      </c>
      <c r="G40">
        <f t="shared" si="0"/>
        <v>360000</v>
      </c>
      <c r="H40">
        <f t="shared" si="4"/>
        <v>30000</v>
      </c>
      <c r="J40">
        <v>3</v>
      </c>
      <c r="K40">
        <v>16</v>
      </c>
      <c r="L40">
        <v>4552</v>
      </c>
      <c r="M40">
        <v>0</v>
      </c>
      <c r="N40">
        <v>1066</v>
      </c>
      <c r="O40">
        <v>8</v>
      </c>
      <c r="P40">
        <v>0</v>
      </c>
      <c r="Q40">
        <v>0</v>
      </c>
      <c r="R40">
        <v>0</v>
      </c>
    </row>
    <row r="41" spans="1:18" x14ac:dyDescent="0.55000000000000004">
      <c r="A41" s="28">
        <v>4</v>
      </c>
      <c r="B41" t="str">
        <f t="shared" si="1"/>
        <v>D4</v>
      </c>
      <c r="C41" t="str">
        <f t="shared" si="2"/>
        <v>H4</v>
      </c>
      <c r="D41" t="str">
        <f t="shared" si="3"/>
        <v>S4</v>
      </c>
      <c r="E41" t="str">
        <f>F$18&amp;"4"</f>
        <v>H4</v>
      </c>
      <c r="F41">
        <v>360000</v>
      </c>
      <c r="G41">
        <f t="shared" si="0"/>
        <v>720000</v>
      </c>
      <c r="H41">
        <f t="shared" si="4"/>
        <v>60000</v>
      </c>
      <c r="J41">
        <v>6</v>
      </c>
      <c r="K41">
        <v>32</v>
      </c>
      <c r="L41">
        <v>5792</v>
      </c>
      <c r="M41">
        <v>0</v>
      </c>
      <c r="N41">
        <v>1376</v>
      </c>
      <c r="O41">
        <v>8</v>
      </c>
      <c r="P41">
        <v>0</v>
      </c>
      <c r="Q41">
        <v>0</v>
      </c>
      <c r="R41">
        <v>0</v>
      </c>
    </row>
    <row r="42" spans="1:18" x14ac:dyDescent="0.55000000000000004">
      <c r="A42" s="28">
        <v>5</v>
      </c>
      <c r="B42" t="str">
        <f t="shared" si="1"/>
        <v>D5</v>
      </c>
      <c r="C42" t="str">
        <f t="shared" si="2"/>
        <v>H5</v>
      </c>
      <c r="D42" t="str">
        <f t="shared" si="3"/>
        <v>S5</v>
      </c>
      <c r="E42" t="str">
        <f>F$18&amp;"5"</f>
        <v>H5</v>
      </c>
      <c r="F42">
        <v>684000</v>
      </c>
      <c r="G42">
        <f t="shared" si="0"/>
        <v>1368000</v>
      </c>
      <c r="H42">
        <f t="shared" si="4"/>
        <v>114000</v>
      </c>
      <c r="J42">
        <v>12</v>
      </c>
      <c r="K42">
        <v>64</v>
      </c>
      <c r="L42">
        <v>8300</v>
      </c>
      <c r="M42">
        <v>0</v>
      </c>
      <c r="N42">
        <v>1997</v>
      </c>
      <c r="O42">
        <v>8</v>
      </c>
      <c r="P42">
        <v>1</v>
      </c>
      <c r="Q42">
        <v>0</v>
      </c>
      <c r="R42">
        <v>0</v>
      </c>
    </row>
    <row r="43" spans="1:18" x14ac:dyDescent="0.55000000000000004">
      <c r="A43" s="28">
        <v>6</v>
      </c>
      <c r="B43" t="str">
        <f t="shared" si="1"/>
        <v>D6</v>
      </c>
      <c r="C43" t="str">
        <f t="shared" si="2"/>
        <v>H6</v>
      </c>
      <c r="D43" t="str">
        <f t="shared" si="3"/>
        <v>S6</v>
      </c>
      <c r="E43" t="str">
        <f>F$18&amp;"6"</f>
        <v>H6</v>
      </c>
      <c r="F43">
        <v>1380000</v>
      </c>
      <c r="G43">
        <f t="shared" si="0"/>
        <v>2760000</v>
      </c>
      <c r="H43">
        <f t="shared" si="4"/>
        <v>230000</v>
      </c>
      <c r="J43">
        <v>24</v>
      </c>
      <c r="K43">
        <v>128</v>
      </c>
      <c r="L43">
        <v>15500</v>
      </c>
      <c r="M43">
        <v>0</v>
      </c>
      <c r="N43">
        <v>3293</v>
      </c>
      <c r="O43">
        <v>64</v>
      </c>
      <c r="P43">
        <v>1</v>
      </c>
      <c r="Q43">
        <v>0</v>
      </c>
      <c r="R43">
        <v>0</v>
      </c>
    </row>
    <row r="44" spans="1:18" x14ac:dyDescent="0.55000000000000004">
      <c r="A44" s="28">
        <v>7</v>
      </c>
      <c r="B44" t="str">
        <f t="shared" si="1"/>
        <v>D7</v>
      </c>
      <c r="C44" t="str">
        <f t="shared" si="2"/>
        <v>H7</v>
      </c>
      <c r="D44" t="str">
        <f t="shared" si="3"/>
        <v>S7</v>
      </c>
      <c r="E44" t="str">
        <f>F$18&amp;"7"</f>
        <v>H7</v>
      </c>
      <c r="F44">
        <v>2340000</v>
      </c>
      <c r="G44">
        <f t="shared" si="0"/>
        <v>4680000</v>
      </c>
      <c r="H44">
        <f t="shared" si="4"/>
        <v>390000</v>
      </c>
      <c r="J44">
        <v>48</v>
      </c>
      <c r="K44">
        <v>256</v>
      </c>
      <c r="L44">
        <v>20488</v>
      </c>
      <c r="M44">
        <v>0</v>
      </c>
      <c r="N44">
        <v>4534</v>
      </c>
      <c r="O44">
        <v>64</v>
      </c>
      <c r="P44">
        <v>2</v>
      </c>
      <c r="Q44">
        <v>0</v>
      </c>
      <c r="R44">
        <v>0</v>
      </c>
    </row>
    <row r="45" spans="1:18" x14ac:dyDescent="0.55000000000000004">
      <c r="A45" s="28">
        <v>8</v>
      </c>
      <c r="B45" t="str">
        <f t="shared" si="1"/>
        <v>D8</v>
      </c>
      <c r="C45" t="str">
        <f t="shared" si="2"/>
        <v>H8</v>
      </c>
      <c r="D45" t="str">
        <f t="shared" si="3"/>
        <v>S8</v>
      </c>
      <c r="E45" t="str">
        <f>F$18&amp;"8"</f>
        <v>H8</v>
      </c>
      <c r="F45">
        <v>4680000</v>
      </c>
      <c r="G45">
        <f t="shared" si="0"/>
        <v>9360000</v>
      </c>
      <c r="H45">
        <f t="shared" si="4"/>
        <v>780000</v>
      </c>
      <c r="J45">
        <v>96</v>
      </c>
      <c r="K45">
        <v>512</v>
      </c>
      <c r="L45">
        <v>28832</v>
      </c>
      <c r="M45">
        <v>192</v>
      </c>
      <c r="N45">
        <v>5840</v>
      </c>
      <c r="O45">
        <v>128</v>
      </c>
      <c r="P45">
        <v>4</v>
      </c>
      <c r="Q45">
        <v>0</v>
      </c>
      <c r="R45">
        <v>0</v>
      </c>
    </row>
    <row r="46" spans="1:18" x14ac:dyDescent="0.55000000000000004">
      <c r="A46" s="28">
        <v>9</v>
      </c>
      <c r="B46" t="str">
        <f t="shared" si="1"/>
        <v>D9</v>
      </c>
      <c r="C46" t="str">
        <f t="shared" si="2"/>
        <v>H9</v>
      </c>
      <c r="D46" t="str">
        <f t="shared" si="3"/>
        <v>S9</v>
      </c>
      <c r="E46" t="str">
        <f>F$18&amp;"9"</f>
        <v>H9</v>
      </c>
      <c r="F46">
        <v>9240000</v>
      </c>
      <c r="G46">
        <f t="shared" si="0"/>
        <v>18480000</v>
      </c>
      <c r="H46">
        <f t="shared" si="4"/>
        <v>1540000</v>
      </c>
      <c r="J46">
        <v>192</v>
      </c>
      <c r="K46">
        <v>1024</v>
      </c>
      <c r="L46">
        <v>47072</v>
      </c>
      <c r="M46">
        <v>384</v>
      </c>
      <c r="N46">
        <v>10184</v>
      </c>
      <c r="O46">
        <v>128</v>
      </c>
      <c r="P46">
        <v>8</v>
      </c>
      <c r="Q46">
        <v>0</v>
      </c>
      <c r="R46">
        <v>0</v>
      </c>
    </row>
    <row r="47" spans="1:18" x14ac:dyDescent="0.55000000000000004">
      <c r="I47" t="s">
        <v>190</v>
      </c>
    </row>
    <row r="48" spans="1:18" x14ac:dyDescent="0.55000000000000004">
      <c r="E48" t="str">
        <f>IF(L,CONCATENATE("専有追加 (",M48," CPU コア単位)"),CONCATENATE("Additional exclusive (per ",M48," CPU cores)"))</f>
        <v>専有追加 (192 CPU コア単位)</v>
      </c>
      <c r="F48">
        <v>1440000</v>
      </c>
      <c r="G48">
        <f t="shared" ref="G48:G55" si="5">F48*E$18</f>
        <v>2880000</v>
      </c>
      <c r="H48">
        <f t="shared" si="4"/>
        <v>240000</v>
      </c>
      <c r="I48">
        <v>40</v>
      </c>
      <c r="L48">
        <v>768</v>
      </c>
      <c r="M48">
        <v>192</v>
      </c>
    </row>
    <row r="49" spans="1:18" x14ac:dyDescent="0.55000000000000004">
      <c r="E49" t="str">
        <f>IF(L,CONCATENATE("共有追加 (",N49," CPU コア単位)"),CONCATENATE("Additional shared (per ",N49," CPU cores)"))</f>
        <v>共有追加 (310 CPU コア単位)</v>
      </c>
      <c r="F49">
        <v>228000</v>
      </c>
      <c r="G49">
        <f t="shared" si="5"/>
        <v>456000</v>
      </c>
      <c r="H49">
        <f>G49/12</f>
        <v>38000</v>
      </c>
      <c r="I49">
        <v>38</v>
      </c>
      <c r="L49">
        <v>1240</v>
      </c>
      <c r="N49">
        <v>310</v>
      </c>
    </row>
    <row r="50" spans="1:18" x14ac:dyDescent="0.55000000000000004">
      <c r="E50" t="str">
        <f>IF(L,CONCATENATE("計算ノード Fat 追加 (",O50," CPU コア単位)"),CONCATENATE("Additional Fat nodes (per ",O50," CPU core)"))</f>
        <v>計算ノード Fat 追加 (8 CPU コア単位)</v>
      </c>
      <c r="F50">
        <v>27000</v>
      </c>
      <c r="G50">
        <f t="shared" si="5"/>
        <v>54000</v>
      </c>
      <c r="H50">
        <f t="shared" si="4"/>
        <v>4500</v>
      </c>
      <c r="I50">
        <v>18</v>
      </c>
      <c r="L50">
        <v>320</v>
      </c>
      <c r="O50">
        <v>8</v>
      </c>
    </row>
    <row r="51" spans="1:18" x14ac:dyDescent="0.55000000000000004">
      <c r="E51" t="str">
        <f>IF(L,"アクセラレータ V100 追加 (1 GPU 単位)","Additional Accelerator V100 (per 1 GPU)")</f>
        <v>アクセラレータ V100 追加 (1 GPU 単位)</v>
      </c>
      <c r="F51">
        <v>132000</v>
      </c>
      <c r="G51">
        <f t="shared" si="5"/>
        <v>264000</v>
      </c>
      <c r="H51">
        <f t="shared" si="4"/>
        <v>22000</v>
      </c>
      <c r="I51">
        <v>80</v>
      </c>
      <c r="L51">
        <v>24</v>
      </c>
      <c r="P51">
        <v>1</v>
      </c>
    </row>
    <row r="52" spans="1:18" x14ac:dyDescent="0.55000000000000004">
      <c r="E52" t="str">
        <f>IF(L,"アクセラレータ A100 追加 (1 GPU 単位)","Additional Accelerator A100 (per 1 GPU)")</f>
        <v>アクセラレータ A100 追加 (1 GPU 単位)</v>
      </c>
      <c r="F52">
        <v>264000</v>
      </c>
      <c r="G52">
        <f t="shared" ref="G52:G53" si="6">F52*E$18</f>
        <v>528000</v>
      </c>
      <c r="H52">
        <f t="shared" ref="H52:H53" si="7">G52/12</f>
        <v>44000</v>
      </c>
      <c r="I52">
        <v>8</v>
      </c>
      <c r="L52">
        <v>128</v>
      </c>
      <c r="Q52">
        <v>1</v>
      </c>
    </row>
    <row r="53" spans="1:18" x14ac:dyDescent="0.55000000000000004">
      <c r="E53" t="str">
        <f>IF(L,"アクセラレータ H100 追加 (1 GPU 単位)","Additional Accelerator H100 (per 1 GPU)")</f>
        <v>アクセラレータ H100 追加 (1 GPU 単位)</v>
      </c>
      <c r="F53">
        <v>396000</v>
      </c>
      <c r="G53">
        <f t="shared" si="6"/>
        <v>792000</v>
      </c>
      <c r="H53">
        <f t="shared" si="7"/>
        <v>66000</v>
      </c>
      <c r="I53">
        <v>16</v>
      </c>
      <c r="L53">
        <v>192</v>
      </c>
      <c r="R53">
        <v>1</v>
      </c>
    </row>
    <row r="54" spans="1:18" x14ac:dyDescent="0.55000000000000004">
      <c r="E54" t="str">
        <f>IF(L,"ホーム Disk 容量追加 (1 TiB 単位)","Additional home disk space (per 1TiB)")</f>
        <v>ホーム Disk 容量追加 (1 TiB 単位)</v>
      </c>
      <c r="F54">
        <v>36000</v>
      </c>
      <c r="G54">
        <f t="shared" si="5"/>
        <v>72000</v>
      </c>
      <c r="H54">
        <f t="shared" si="4"/>
        <v>6000</v>
      </c>
      <c r="I54">
        <v>5000</v>
      </c>
      <c r="J54">
        <v>1</v>
      </c>
    </row>
    <row r="55" spans="1:18" x14ac:dyDescent="0.55000000000000004">
      <c r="E55" t="str">
        <f>IF(L,"アーカイブ Disk 追加 (1 TiB 単位)","Additional Archive Disk (per 1TiB)")</f>
        <v>アーカイブ Disk 追加 (1 TiB 単位)</v>
      </c>
      <c r="F55">
        <v>1800</v>
      </c>
      <c r="G55">
        <f t="shared" si="5"/>
        <v>3600</v>
      </c>
      <c r="H55">
        <f t="shared" si="4"/>
        <v>300</v>
      </c>
      <c r="I55">
        <v>100000</v>
      </c>
      <c r="K55">
        <v>1</v>
      </c>
    </row>
    <row r="56" spans="1:18" x14ac:dyDescent="0.55000000000000004">
      <c r="E56" t="str">
        <f t="shared" ref="E56:P56" si="8">IF(OR(ISNA($C$62),ISBLANK(STARTY)),"",IF($C$62-E65&gt;0,STARTY+1,STARTY))</f>
        <v/>
      </c>
      <c r="F56" t="str">
        <f t="shared" si="8"/>
        <v/>
      </c>
      <c r="G56" t="str">
        <f t="shared" si="8"/>
        <v/>
      </c>
      <c r="H56" t="str">
        <f t="shared" si="8"/>
        <v/>
      </c>
      <c r="I56" t="str">
        <f t="shared" si="8"/>
        <v/>
      </c>
      <c r="J56" t="str">
        <f t="shared" si="8"/>
        <v/>
      </c>
      <c r="K56" t="str">
        <f t="shared" si="8"/>
        <v/>
      </c>
      <c r="L56" t="str">
        <f t="shared" si="8"/>
        <v/>
      </c>
      <c r="M56" t="str">
        <f t="shared" si="8"/>
        <v/>
      </c>
      <c r="N56" t="str">
        <f t="shared" si="8"/>
        <v/>
      </c>
      <c r="O56" t="str">
        <f t="shared" si="8"/>
        <v/>
      </c>
      <c r="P56" t="str">
        <f t="shared" si="8"/>
        <v/>
      </c>
    </row>
    <row r="57" spans="1:18" x14ac:dyDescent="0.55000000000000004">
      <c r="E57" t="s">
        <v>60</v>
      </c>
      <c r="F57" t="s">
        <v>61</v>
      </c>
      <c r="G57" t="s">
        <v>62</v>
      </c>
      <c r="H57" t="s">
        <v>63</v>
      </c>
      <c r="I57" t="s">
        <v>64</v>
      </c>
      <c r="J57" t="s">
        <v>65</v>
      </c>
      <c r="K57" t="s">
        <v>66</v>
      </c>
      <c r="L57" t="s">
        <v>67</v>
      </c>
      <c r="M57" t="s">
        <v>68</v>
      </c>
      <c r="N57" t="s">
        <v>69</v>
      </c>
      <c r="O57" t="s">
        <v>70</v>
      </c>
      <c r="P57" t="s">
        <v>71</v>
      </c>
    </row>
    <row r="58" spans="1:18" x14ac:dyDescent="0.55000000000000004">
      <c r="E58" t="s">
        <v>72</v>
      </c>
      <c r="F58" t="s">
        <v>83</v>
      </c>
      <c r="G58" t="s">
        <v>73</v>
      </c>
      <c r="H58" t="s">
        <v>74</v>
      </c>
      <c r="I58" t="s">
        <v>75</v>
      </c>
      <c r="J58" t="s">
        <v>76</v>
      </c>
      <c r="K58" t="s">
        <v>77</v>
      </c>
      <c r="L58" t="s">
        <v>78</v>
      </c>
      <c r="M58" t="s">
        <v>79</v>
      </c>
      <c r="N58" t="s">
        <v>80</v>
      </c>
      <c r="O58" t="s">
        <v>81</v>
      </c>
      <c r="P58" t="s">
        <v>82</v>
      </c>
    </row>
    <row r="59" spans="1:18" x14ac:dyDescent="0.55000000000000004">
      <c r="E59" t="str">
        <f t="shared" ref="E59:P59" si="9">IF(L,E57,E58)</f>
        <v>1 月</v>
      </c>
      <c r="F59" t="str">
        <f t="shared" si="9"/>
        <v>2 月</v>
      </c>
      <c r="G59" t="str">
        <f t="shared" si="9"/>
        <v>3 月</v>
      </c>
      <c r="H59" t="str">
        <f t="shared" si="9"/>
        <v>4 月</v>
      </c>
      <c r="I59" t="str">
        <f t="shared" si="9"/>
        <v>5 月</v>
      </c>
      <c r="J59" t="str">
        <f t="shared" si="9"/>
        <v>6 月</v>
      </c>
      <c r="K59" t="str">
        <f t="shared" si="9"/>
        <v>7 月</v>
      </c>
      <c r="L59" t="str">
        <f t="shared" si="9"/>
        <v>8 月</v>
      </c>
      <c r="M59" t="str">
        <f t="shared" si="9"/>
        <v>9 月</v>
      </c>
      <c r="N59" t="str">
        <f t="shared" si="9"/>
        <v>10 月</v>
      </c>
      <c r="O59" t="str">
        <f t="shared" si="9"/>
        <v>11 月</v>
      </c>
      <c r="P59" t="str">
        <f t="shared" si="9"/>
        <v>12 月</v>
      </c>
    </row>
    <row r="60" spans="1:18" x14ac:dyDescent="0.55000000000000004">
      <c r="E60" t="str">
        <f t="shared" ref="E60:P60" si="10">IF(OR(ISBLANK(STARTY),ISBLANK(STARTM),ISBLANK(ENDM)),"",E59)</f>
        <v/>
      </c>
      <c r="F60" t="str">
        <f t="shared" si="10"/>
        <v/>
      </c>
      <c r="G60" t="str">
        <f t="shared" si="10"/>
        <v/>
      </c>
      <c r="H60" t="str">
        <f t="shared" si="10"/>
        <v/>
      </c>
      <c r="I60" t="str">
        <f t="shared" si="10"/>
        <v/>
      </c>
      <c r="J60" t="str">
        <f t="shared" si="10"/>
        <v/>
      </c>
      <c r="K60" t="str">
        <f t="shared" si="10"/>
        <v/>
      </c>
      <c r="L60" t="str">
        <f t="shared" si="10"/>
        <v/>
      </c>
      <c r="M60" t="str">
        <f t="shared" si="10"/>
        <v/>
      </c>
      <c r="N60" t="str">
        <f t="shared" si="10"/>
        <v/>
      </c>
      <c r="O60" t="str">
        <f t="shared" si="10"/>
        <v/>
      </c>
      <c r="P60" t="str">
        <f t="shared" si="10"/>
        <v/>
      </c>
    </row>
    <row r="61" spans="1:18" x14ac:dyDescent="0.55000000000000004">
      <c r="E61" t="str">
        <f>IF(COUNTIF($A$37:$D$37,'Input sheet 3'!M$21),0,
IF(COUNTIF($A$38:$D$38,'Input sheet 3'!M$21),$A$38,
IF(COUNTIF($A$39:$D$39,'Input sheet 3'!M$21),$A$39,
IF(COUNTIF($A$40:$D$40,'Input sheet 3'!M$21),$A$40,
IF(COUNTIF($A$41:$D$41,'Input sheet 3'!M$21),$A$41,
IF(COUNTIF($A$42:$D$42,'Input sheet 3'!M$21),$A$42,
IF(COUNTIF($A$43:$D$43,'Input sheet 3'!M$21),$A$43,
IF(COUNTIF($A$44:$D$44,'Input sheet 3'!M$21),$A$44,
IF(COUNTIF($A$45:$D$45,'Input sheet 3'!M$21),$A$45,
IF(COUNTIF($A$46:$D$46,'Input sheet 3'!M$21),$A$46,
""))))))))))</f>
        <v/>
      </c>
      <c r="F61" t="str">
        <f>IF(COUNTIF($A$37:$D$37,'Input sheet 3'!N$21),0,
IF(COUNTIF($A$38:$D$38,'Input sheet 3'!N$21),$A$38,
IF(COUNTIF($A$39:$D$39,'Input sheet 3'!N$21),$A$39,
IF(COUNTIF($A$40:$D$40,'Input sheet 3'!N$21),$A$40,
IF(COUNTIF($A$41:$D$41,'Input sheet 3'!N$21),$A$41,
IF(COUNTIF($A$42:$D$42,'Input sheet 3'!N$21),$A$42,
IF(COUNTIF($A$43:$D$43,'Input sheet 3'!N$21),$A$43,
IF(COUNTIF($A$44:$D$44,'Input sheet 3'!N$21),$A$44,
IF(COUNTIF($A$45:$D$45,'Input sheet 3'!N$21),$A$45,
IF(COUNTIF($A$46:$D$46,'Input sheet 3'!N$21),$A$46,
""))))))))))</f>
        <v/>
      </c>
      <c r="G61" t="str">
        <f>IF(COUNTIF($A$37:$D$37,'Input sheet 3'!O$21),0,
IF(COUNTIF($A$38:$D$38,'Input sheet 3'!O$21),$A$38,
IF(COUNTIF($A$39:$D$39,'Input sheet 3'!O$21),$A$39,
IF(COUNTIF($A$40:$D$40,'Input sheet 3'!O$21),$A$40,
IF(COUNTIF($A$41:$D$41,'Input sheet 3'!O$21),$A$41,
IF(COUNTIF($A$42:$D$42,'Input sheet 3'!O$21),$A$42,
IF(COUNTIF($A$43:$D$43,'Input sheet 3'!O$21),$A$43,
IF(COUNTIF($A$44:$D$44,'Input sheet 3'!O$21),$A$44,
IF(COUNTIF($A$45:$D$45,'Input sheet 3'!O$21),$A$45,
IF(COUNTIF($A$46:$D$46,'Input sheet 3'!O$21),$A$46,
""))))))))))</f>
        <v/>
      </c>
      <c r="H61" t="str">
        <f>IF(COUNTIF($A$37:$D$37,'Input sheet 3'!D$21),0,
IF(COUNTIF($A$38:$D$38,'Input sheet 3'!D$21),$A$38,
IF(COUNTIF($A$39:$D$39,'Input sheet 3'!D$21),$A$39,
IF(COUNTIF($A$40:$D$40,'Input sheet 3'!D$21),$A$40,
IF(COUNTIF($A$41:$D$41,'Input sheet 3'!D$21),$A$41,
IF(COUNTIF($A$42:$D$42,'Input sheet 3'!D$21),$A$42,
IF(COUNTIF($A$43:$D$43,'Input sheet 3'!D$21),$A$43,
IF(COUNTIF($A$44:$D$44,'Input sheet 3'!D$21),$A$44,
IF(COUNTIF($A$45:$D$45,'Input sheet 3'!D$21),$A$45,
IF(COUNTIF($A$46:$D$46,'Input sheet 3'!D$21),$A$46,
""))))))))))</f>
        <v/>
      </c>
      <c r="I61" t="str">
        <f>IF(COUNTIF($A$37:$D$37,'Input sheet 3'!E$21),0,
IF(COUNTIF($A$38:$D$38,'Input sheet 3'!E$21),$A$38,
IF(COUNTIF($A$39:$D$39,'Input sheet 3'!E$21),$A$39,
IF(COUNTIF($A$40:$D$40,'Input sheet 3'!E$21),$A$40,
IF(COUNTIF($A$41:$D$41,'Input sheet 3'!E$21),$A$41,
IF(COUNTIF($A$42:$D$42,'Input sheet 3'!E$21),$A$42,
IF(COUNTIF($A$43:$D$43,'Input sheet 3'!E$21),$A$43,
IF(COUNTIF($A$44:$D$44,'Input sheet 3'!E$21),$A$44,
IF(COUNTIF($A$45:$D$45,'Input sheet 3'!E$21),$A$45,
IF(COUNTIF($A$46:$D$46,'Input sheet 3'!E$21),$A$46,
""))))))))))</f>
        <v/>
      </c>
      <c r="J61" t="str">
        <f>IF(COUNTIF($A$37:$D$37,'Input sheet 3'!F$21),0,
IF(COUNTIF($A$38:$D$38,'Input sheet 3'!F$21),$A$38,
IF(COUNTIF($A$39:$D$39,'Input sheet 3'!F$21),$A$39,
IF(COUNTIF($A$40:$D$40,'Input sheet 3'!F$21),$A$40,
IF(COUNTIF($A$41:$D$41,'Input sheet 3'!F$21),$A$41,
IF(COUNTIF($A$42:$D$42,'Input sheet 3'!F$21),$A$42,
IF(COUNTIF($A$43:$D$43,'Input sheet 3'!F$21),$A$43,
IF(COUNTIF($A$44:$D$44,'Input sheet 3'!F$21),$A$44,
IF(COUNTIF($A$45:$D$45,'Input sheet 3'!F$21),$A$45,
IF(COUNTIF($A$46:$D$46,'Input sheet 3'!F$21),$A$46,
""))))))))))</f>
        <v/>
      </c>
      <c r="K61" t="str">
        <f>IF(COUNTIF($A$37:$D$37,'Input sheet 3'!G$21),0,
IF(COUNTIF($A$38:$D$38,'Input sheet 3'!G$21),$A$38,
IF(COUNTIF($A$39:$D$39,'Input sheet 3'!G$21),$A$39,
IF(COUNTIF($A$40:$D$40,'Input sheet 3'!G$21),$A$40,
IF(COUNTIF($A$41:$D$41,'Input sheet 3'!G$21),$A$41,
IF(COUNTIF($A$42:$D$42,'Input sheet 3'!G$21),$A$42,
IF(COUNTIF($A$43:$D$43,'Input sheet 3'!G$21),$A$43,
IF(COUNTIF($A$44:$D$44,'Input sheet 3'!G$21),$A$44,
IF(COUNTIF($A$45:$D$45,'Input sheet 3'!G$21),$A$45,
IF(COUNTIF($A$46:$D$46,'Input sheet 3'!G$21),$A$46,
""))))))))))</f>
        <v/>
      </c>
      <c r="L61" t="str">
        <f>IF(COUNTIF($A$37:$D$37,'Input sheet 3'!H$21),0,
IF(COUNTIF($A$38:$D$38,'Input sheet 3'!H$21),$A$38,
IF(COUNTIF($A$39:$D$39,'Input sheet 3'!H$21),$A$39,
IF(COUNTIF($A$40:$D$40,'Input sheet 3'!H$21),$A$40,
IF(COUNTIF($A$41:$D$41,'Input sheet 3'!H$21),$A$41,
IF(COUNTIF($A$42:$D$42,'Input sheet 3'!H$21),$A$42,
IF(COUNTIF($A$43:$D$43,'Input sheet 3'!H$21),$A$43,
IF(COUNTIF($A$44:$D$44,'Input sheet 3'!H$21),$A$44,
IF(COUNTIF($A$45:$D$45,'Input sheet 3'!H$21),$A$45,
IF(COUNTIF($A$46:$D$46,'Input sheet 3'!H$21),$A$46,
""))))))))))</f>
        <v/>
      </c>
      <c r="M61" t="str">
        <f>IF(COUNTIF($A$37:$D$37,'Input sheet 3'!I$21),0,
IF(COUNTIF($A$38:$D$38,'Input sheet 3'!I$21),$A$38,
IF(COUNTIF($A$39:$D$39,'Input sheet 3'!I$21),$A$39,
IF(COUNTIF($A$40:$D$40,'Input sheet 3'!I$21),$A$40,
IF(COUNTIF($A$41:$D$41,'Input sheet 3'!I$21),$A$41,
IF(COUNTIF($A$42:$D$42,'Input sheet 3'!I$21),$A$42,
IF(COUNTIF($A$43:$D$43,'Input sheet 3'!I$21),$A$43,
IF(COUNTIF($A$44:$D$44,'Input sheet 3'!I$21),$A$44,
IF(COUNTIF($A$45:$D$45,'Input sheet 3'!I$21),$A$45,
IF(COUNTIF($A$46:$D$46,'Input sheet 3'!I$21),$A$46,
""))))))))))</f>
        <v/>
      </c>
      <c r="N61" t="str">
        <f>IF(COUNTIF($A$37:$D$37,'Input sheet 3'!J$21),0,
IF(COUNTIF($A$38:$D$38,'Input sheet 3'!J$21),$A$38,
IF(COUNTIF($A$39:$D$39,'Input sheet 3'!J$21),$A$39,
IF(COUNTIF($A$40:$D$40,'Input sheet 3'!J$21),$A$40,
IF(COUNTIF($A$41:$D$41,'Input sheet 3'!J$21),$A$41,
IF(COUNTIF($A$42:$D$42,'Input sheet 3'!J$21),$A$42,
IF(COUNTIF($A$43:$D$43,'Input sheet 3'!J$21),$A$43,
IF(COUNTIF($A$44:$D$44,'Input sheet 3'!J$21),$A$44,
IF(COUNTIF($A$45:$D$45,'Input sheet 3'!J$21),$A$45,
IF(COUNTIF($A$46:$D$46,'Input sheet 3'!J$21),$A$46,
""))))))))))</f>
        <v/>
      </c>
      <c r="O61" t="str">
        <f>IF(COUNTIF($A$37:$D$37,'Input sheet 3'!K$21),0,
IF(COUNTIF($A$38:$D$38,'Input sheet 3'!K$21),$A$38,
IF(COUNTIF($A$39:$D$39,'Input sheet 3'!K$21),$A$39,
IF(COUNTIF($A$40:$D$40,'Input sheet 3'!K$21),$A$40,
IF(COUNTIF($A$41:$D$41,'Input sheet 3'!K$21),$A$41,
IF(COUNTIF($A$42:$D$42,'Input sheet 3'!K$21),$A$42,
IF(COUNTIF($A$43:$D$43,'Input sheet 3'!K$21),$A$43,
IF(COUNTIF($A$44:$D$44,'Input sheet 3'!K$21),$A$44,
IF(COUNTIF($A$45:$D$45,'Input sheet 3'!K$21),$A$45,
IF(COUNTIF($A$46:$D$46,'Input sheet 3'!K$21),$A$46,
""))))))))))</f>
        <v/>
      </c>
      <c r="P61" t="str">
        <f>IF(COUNTIF($A$37:$D$37,'Input sheet 3'!L$21),0,
IF(COUNTIF($A$38:$D$38,'Input sheet 3'!L$21),$A$38,
IF(COUNTIF($A$39:$D$39,'Input sheet 3'!L$21),$A$39,
IF(COUNTIF($A$40:$D$40,'Input sheet 3'!L$21),$A$40,
IF(COUNTIF($A$41:$D$41,'Input sheet 3'!L$21),$A$41,
IF(COUNTIF($A$42:$D$42,'Input sheet 3'!L$21),$A$42,
IF(COUNTIF($A$43:$D$43,'Input sheet 3'!L$21),$A$43,
IF(COUNTIF($A$44:$D$44,'Input sheet 3'!L$21),$A$44,
IF(COUNTIF($A$45:$D$45,'Input sheet 3'!L$21),$A$45,
IF(COUNTIF($A$46:$D$46,'Input sheet 3'!L$21),$A$46,
""))))))))))</f>
        <v/>
      </c>
    </row>
    <row r="62" spans="1:18" x14ac:dyDescent="0.55000000000000004">
      <c r="A62" t="e">
        <f>INDEX(E56:P56,C62)</f>
        <v>#N/A</v>
      </c>
      <c r="C62" t="e">
        <f>MATCH(TRUE,E62:P62,0)</f>
        <v>#N/A</v>
      </c>
      <c r="D62" t="s">
        <v>84</v>
      </c>
      <c r="E62" t="b">
        <f>OR(EXACT(E57,'Input sheet 3'!$B$8),EXACT(E58,'Input sheet 3'!$B$8))</f>
        <v>0</v>
      </c>
      <c r="F62" t="b">
        <f>OR(EXACT(F57,'Input sheet 3'!$B$8),EXACT(F58,'Input sheet 3'!$B$8))</f>
        <v>0</v>
      </c>
      <c r="G62" t="b">
        <f>OR(EXACT(G57,'Input sheet 3'!$B$8),EXACT(G58,'Input sheet 3'!$B$8))</f>
        <v>0</v>
      </c>
      <c r="H62" t="b">
        <f>OR(EXACT(H57,'Input sheet 3'!$B$8),EXACT(H58,'Input sheet 3'!$B$8))</f>
        <v>0</v>
      </c>
      <c r="I62" t="b">
        <f>OR(EXACT(I57,'Input sheet 3'!$B$8),EXACT(I58,'Input sheet 3'!$B$8))</f>
        <v>0</v>
      </c>
      <c r="J62" t="b">
        <f>OR(EXACT(J57,'Input sheet 3'!$B$8),EXACT(J58,'Input sheet 3'!$B$8))</f>
        <v>0</v>
      </c>
      <c r="K62" t="b">
        <f>OR(EXACT(K57,'Input sheet 3'!$B$8),EXACT(K58,'Input sheet 3'!$B$8))</f>
        <v>0</v>
      </c>
      <c r="L62" t="b">
        <f>OR(EXACT(L57,'Input sheet 3'!$B$8),EXACT(L58,'Input sheet 3'!$B$8))</f>
        <v>0</v>
      </c>
      <c r="M62" t="b">
        <f>OR(EXACT(M57,'Input sheet 3'!$B$8),EXACT(M58,'Input sheet 3'!$B$8))</f>
        <v>0</v>
      </c>
      <c r="N62" t="b">
        <f>OR(EXACT(N57,'Input sheet 3'!$B$8),EXACT(N58,'Input sheet 3'!$B$8))</f>
        <v>0</v>
      </c>
      <c r="O62" t="b">
        <f>OR(EXACT(O57,'Input sheet 3'!$B$8),EXACT(O58,'Input sheet 3'!$B$8))</f>
        <v>0</v>
      </c>
      <c r="P62" t="b">
        <f>OR(EXACT(P57,'Input sheet 3'!$B$8),EXACT(P58,'Input sheet 3'!$B$8))</f>
        <v>0</v>
      </c>
    </row>
    <row r="63" spans="1:18" x14ac:dyDescent="0.55000000000000004">
      <c r="A63" t="e">
        <f>INDEX(E56:P56,C63)</f>
        <v>#N/A</v>
      </c>
      <c r="B63" t="e">
        <f>MOD(C63 - C62 + 12, 12)+1</f>
        <v>#N/A</v>
      </c>
      <c r="C63" t="e">
        <f>MATCH(TRUE,E63:P63,0)</f>
        <v>#N/A</v>
      </c>
      <c r="D63" t="s">
        <v>85</v>
      </c>
      <c r="E63" t="b">
        <f>OR(EXACT(E57,'Input sheet 3'!$B$13),EXACT(E58,'Input sheet 3'!$B$13))</f>
        <v>0</v>
      </c>
      <c r="F63" t="b">
        <f>OR(EXACT(F57,'Input sheet 3'!$B$13),EXACT(F58,'Input sheet 3'!$B$13))</f>
        <v>0</v>
      </c>
      <c r="G63" t="b">
        <f>OR(EXACT(G57,'Input sheet 3'!$B$13),EXACT(G58,'Input sheet 3'!$B$13))</f>
        <v>0</v>
      </c>
      <c r="H63" t="b">
        <f>OR(EXACT(H57,'Input sheet 3'!$B$13),EXACT(H58,'Input sheet 3'!$B$13))</f>
        <v>0</v>
      </c>
      <c r="I63" t="b">
        <f>OR(EXACT(I57,'Input sheet 3'!$B$13),EXACT(I58,'Input sheet 3'!$B$13))</f>
        <v>0</v>
      </c>
      <c r="J63" t="b">
        <f>OR(EXACT(J57,'Input sheet 3'!$B$13),EXACT(J58,'Input sheet 3'!$B$13))</f>
        <v>0</v>
      </c>
      <c r="K63" t="b">
        <f>OR(EXACT(K57,'Input sheet 3'!$B$13),EXACT(K58,'Input sheet 3'!$B$13))</f>
        <v>0</v>
      </c>
      <c r="L63" t="b">
        <f>OR(EXACT(L57,'Input sheet 3'!$B$13),EXACT(L58,'Input sheet 3'!$B$13))</f>
        <v>0</v>
      </c>
      <c r="M63" t="b">
        <f>OR(EXACT(M57,'Input sheet 3'!$B$13),EXACT(M58,'Input sheet 3'!$B$13))</f>
        <v>0</v>
      </c>
      <c r="N63" t="b">
        <f>OR(EXACT(N57,'Input sheet 3'!$B$13),EXACT(N58,'Input sheet 3'!$B$13))</f>
        <v>0</v>
      </c>
      <c r="O63" t="b">
        <f>OR(EXACT(O57,'Input sheet 3'!$B$13),EXACT(O58,'Input sheet 3'!$B$13))</f>
        <v>0</v>
      </c>
      <c r="P63" t="b">
        <f>OR(EXACT(P57,'Input sheet 3'!$B$13),EXACT(P58,'Input sheet 3'!$B$13))</f>
        <v>0</v>
      </c>
    </row>
    <row r="64" spans="1:18" x14ac:dyDescent="0.55000000000000004">
      <c r="B64" s="86" t="s">
        <v>96</v>
      </c>
      <c r="D64" t="s">
        <v>87</v>
      </c>
      <c r="E64" t="e">
        <f>IF($C$63-$C$62&lt;0,IF(OR($C$63&gt;=E$65,$C$62&lt;=E$65),TRUE,FALSE),IF(AND($C$62&lt;=E$65,$C$63&gt;=E$65),TRUE,FALSE))</f>
        <v>#N/A</v>
      </c>
      <c r="F64" t="e">
        <f t="shared" ref="F64:P64" si="11">IF($C$63-$C$62&lt;0,IF(OR($C$63&gt;=F$65,$C$62&lt;=F$65),TRUE,FALSE),IF(AND($C$62&lt;=F$65,$C$63&gt;=F$65),TRUE,FALSE))</f>
        <v>#N/A</v>
      </c>
      <c r="G64" t="e">
        <f t="shared" si="11"/>
        <v>#N/A</v>
      </c>
      <c r="H64" t="e">
        <f t="shared" si="11"/>
        <v>#N/A</v>
      </c>
      <c r="I64" t="e">
        <f t="shared" si="11"/>
        <v>#N/A</v>
      </c>
      <c r="J64" t="e">
        <f t="shared" si="11"/>
        <v>#N/A</v>
      </c>
      <c r="K64" t="e">
        <f t="shared" si="11"/>
        <v>#N/A</v>
      </c>
      <c r="L64" t="e">
        <f t="shared" si="11"/>
        <v>#N/A</v>
      </c>
      <c r="M64" t="e">
        <f t="shared" si="11"/>
        <v>#N/A</v>
      </c>
      <c r="N64" t="e">
        <f t="shared" si="11"/>
        <v>#N/A</v>
      </c>
      <c r="O64" t="e">
        <f t="shared" si="11"/>
        <v>#N/A</v>
      </c>
      <c r="P64" t="e">
        <f t="shared" si="11"/>
        <v>#N/A</v>
      </c>
    </row>
    <row r="65" spans="1:16" x14ac:dyDescent="0.55000000000000004">
      <c r="E65">
        <v>1</v>
      </c>
      <c r="F65">
        <v>2</v>
      </c>
      <c r="G65">
        <v>3</v>
      </c>
      <c r="H65">
        <v>4</v>
      </c>
      <c r="I65">
        <v>5</v>
      </c>
      <c r="J65">
        <v>6</v>
      </c>
      <c r="K65">
        <v>7</v>
      </c>
      <c r="L65">
        <v>8</v>
      </c>
      <c r="M65">
        <v>9</v>
      </c>
      <c r="N65">
        <v>10</v>
      </c>
      <c r="O65">
        <v>11</v>
      </c>
      <c r="P65">
        <v>12</v>
      </c>
    </row>
    <row r="66" spans="1:16" x14ac:dyDescent="0.55000000000000004">
      <c r="E66" t="e">
        <f t="shared" ref="E66:J66" si="12">MOD(E65-$C62+12,12)+1</f>
        <v>#N/A</v>
      </c>
      <c r="F66" t="e">
        <f t="shared" si="12"/>
        <v>#N/A</v>
      </c>
      <c r="G66" t="e">
        <f t="shared" si="12"/>
        <v>#N/A</v>
      </c>
      <c r="H66" t="e">
        <f t="shared" si="12"/>
        <v>#N/A</v>
      </c>
      <c r="I66" t="e">
        <f t="shared" si="12"/>
        <v>#N/A</v>
      </c>
      <c r="J66" t="e">
        <f t="shared" si="12"/>
        <v>#N/A</v>
      </c>
      <c r="K66" t="e">
        <f>MOD(K65-$C62+12,12)+1</f>
        <v>#N/A</v>
      </c>
      <c r="L66" t="e">
        <f t="shared" ref="L66:P66" si="13">MOD(L65-$C62+12,12)+1</f>
        <v>#N/A</v>
      </c>
      <c r="M66" t="e">
        <f t="shared" si="13"/>
        <v>#N/A</v>
      </c>
      <c r="N66" t="e">
        <f t="shared" si="13"/>
        <v>#N/A</v>
      </c>
      <c r="O66" t="e">
        <f t="shared" si="13"/>
        <v>#N/A</v>
      </c>
      <c r="P66" t="e">
        <f t="shared" si="13"/>
        <v>#N/A</v>
      </c>
    </row>
    <row r="67" spans="1:16" x14ac:dyDescent="0.55000000000000004">
      <c r="E67" t="e">
        <f>MATCH(E65,$E66:$P66,0)</f>
        <v>#N/A</v>
      </c>
      <c r="F67" t="e">
        <f t="shared" ref="F67:P67" si="14">MATCH(F65,$E66:$P66,0)</f>
        <v>#N/A</v>
      </c>
      <c r="G67" t="e">
        <f t="shared" si="14"/>
        <v>#N/A</v>
      </c>
      <c r="H67" t="e">
        <f t="shared" si="14"/>
        <v>#N/A</v>
      </c>
      <c r="I67" t="e">
        <f t="shared" si="14"/>
        <v>#N/A</v>
      </c>
      <c r="J67" t="e">
        <f t="shared" si="14"/>
        <v>#N/A</v>
      </c>
      <c r="K67" t="e">
        <f t="shared" si="14"/>
        <v>#N/A</v>
      </c>
      <c r="L67" t="e">
        <f t="shared" si="14"/>
        <v>#N/A</v>
      </c>
      <c r="M67" t="e">
        <f t="shared" si="14"/>
        <v>#N/A</v>
      </c>
      <c r="N67" t="e">
        <f t="shared" si="14"/>
        <v>#N/A</v>
      </c>
      <c r="O67" t="e">
        <f t="shared" si="14"/>
        <v>#N/A</v>
      </c>
      <c r="P67" t="e">
        <f t="shared" si="14"/>
        <v>#N/A</v>
      </c>
    </row>
    <row r="68" spans="1:16" x14ac:dyDescent="0.55000000000000004">
      <c r="E68" t="e">
        <f>INDEX($E64:$P64,1,E67)</f>
        <v>#N/A</v>
      </c>
      <c r="F68" t="e">
        <f t="shared" ref="F68:P68" si="15">INDEX($E64:$P64,1,F67)</f>
        <v>#N/A</v>
      </c>
      <c r="G68" t="e">
        <f t="shared" si="15"/>
        <v>#N/A</v>
      </c>
      <c r="H68" t="e">
        <f t="shared" si="15"/>
        <v>#N/A</v>
      </c>
      <c r="I68" t="e">
        <f t="shared" si="15"/>
        <v>#N/A</v>
      </c>
      <c r="J68" t="e">
        <f t="shared" si="15"/>
        <v>#N/A</v>
      </c>
      <c r="K68" t="e">
        <f t="shared" si="15"/>
        <v>#N/A</v>
      </c>
      <c r="L68" t="e">
        <f t="shared" si="15"/>
        <v>#N/A</v>
      </c>
      <c r="M68" t="e">
        <f t="shared" si="15"/>
        <v>#N/A</v>
      </c>
      <c r="N68" t="e">
        <f t="shared" si="15"/>
        <v>#N/A</v>
      </c>
      <c r="O68" t="e">
        <f t="shared" si="15"/>
        <v>#N/A</v>
      </c>
      <c r="P68" t="e">
        <f t="shared" si="15"/>
        <v>#N/A</v>
      </c>
    </row>
    <row r="70" spans="1:16" x14ac:dyDescent="0.55000000000000004">
      <c r="A70" t="str">
        <f>'Input sheet 3'!$B$20</f>
        <v>コース</v>
      </c>
      <c r="E70" s="14" t="str">
        <f>IF(ISNUMBER(banana!$E$61),INDEX(banana!$E$37:$E$46,banana!$E$61+1,1),"")</f>
        <v/>
      </c>
      <c r="F70" s="14" t="str">
        <f>IF(ISNUMBER(banana!$F$61),INDEX(banana!$E$37:$E$46,banana!$F$61+1,1),"")</f>
        <v/>
      </c>
      <c r="G70" s="14" t="str">
        <f>IF(ISNUMBER(banana!$G$61),INDEX(banana!$E$37:$E$46,banana!$G$61+1,1),"")</f>
        <v/>
      </c>
      <c r="H70" s="14" t="str">
        <f>IF(ISNUMBER(banana!$H$61),INDEX(banana!$E$37:$E$46,banana!$H$61+1,1),"")</f>
        <v/>
      </c>
      <c r="I70" s="14" t="str">
        <f>IF(ISNUMBER(banana!$I$61),INDEX(banana!$E$37:$E$46,banana!$I$61+1,1),"")</f>
        <v/>
      </c>
      <c r="J70" s="14" t="str">
        <f>IF(ISNUMBER(banana!$J$61),INDEX(banana!$E$37:$E$46,banana!$J$61+1,1),"")</f>
        <v/>
      </c>
      <c r="K70" s="14" t="str">
        <f>IF(ISNUMBER(banana!$K$61),INDEX(banana!$E$37:$E$46,banana!$K$61+1,1),"")</f>
        <v/>
      </c>
      <c r="L70" s="14" t="str">
        <f>IF(ISNUMBER(banana!$L$61),INDEX(banana!$E$37:$E$46,banana!$L$61+1,1),"")</f>
        <v/>
      </c>
      <c r="M70" s="14" t="str">
        <f>IF(ISNUMBER(banana!$M$61),INDEX(banana!$E$37:$E$46,banana!$M$61+1,1),"")</f>
        <v/>
      </c>
      <c r="N70" s="14" t="str">
        <f>IF(ISNUMBER(banana!$N$61),INDEX(banana!$E$37:$E$46,banana!$N$61+1,1),"")</f>
        <v/>
      </c>
      <c r="O70" s="14" t="str">
        <f>IF(ISNUMBER(banana!$O$61),INDEX(banana!$E$37:$E$46,banana!$O$61+1,1),"")</f>
        <v/>
      </c>
      <c r="P70" s="14" t="str">
        <f>IF(ISNUMBER(banana!$P$61),INDEX(banana!$E$37:$E$46,banana!$P$61+1,1),"")</f>
        <v/>
      </c>
    </row>
    <row r="71" spans="1:16" x14ac:dyDescent="0.55000000000000004">
      <c r="A71" t="str">
        <f t="shared" ref="A71:A78" si="16">E48</f>
        <v>専有追加 (192 CPU コア単位)</v>
      </c>
      <c r="E71" s="31">
        <f>'Input sheet 3'!$M$23</f>
        <v>0</v>
      </c>
      <c r="F71" s="31">
        <f>'Input sheet 3'!$N$23</f>
        <v>0</v>
      </c>
      <c r="G71" s="31">
        <f>'Input sheet 3'!$O$23</f>
        <v>0</v>
      </c>
      <c r="H71" s="32">
        <f>'Input sheet 3'!$D$23</f>
        <v>0</v>
      </c>
      <c r="I71" s="32">
        <f>'Input sheet 3'!$E$23</f>
        <v>0</v>
      </c>
      <c r="J71" s="32">
        <f>'Input sheet 3'!$F$23</f>
        <v>0</v>
      </c>
      <c r="K71" s="32">
        <f>'Input sheet 3'!$G$23</f>
        <v>0</v>
      </c>
      <c r="L71" s="32">
        <f>'Input sheet 3'!$H$23</f>
        <v>0</v>
      </c>
      <c r="M71" s="32">
        <f>'Input sheet 3'!$I$23</f>
        <v>0</v>
      </c>
      <c r="N71" s="32">
        <f>'Input sheet 3'!$J$23</f>
        <v>0</v>
      </c>
      <c r="O71" s="32">
        <f>'Input sheet 3'!$K$23</f>
        <v>0</v>
      </c>
      <c r="P71" s="32">
        <f>'Input sheet 3'!$L$23</f>
        <v>0</v>
      </c>
    </row>
    <row r="72" spans="1:16" x14ac:dyDescent="0.55000000000000004">
      <c r="A72" t="str">
        <f t="shared" si="16"/>
        <v>共有追加 (310 CPU コア単位)</v>
      </c>
      <c r="E72" s="31">
        <f>'Input sheet 3'!$M$25</f>
        <v>0</v>
      </c>
      <c r="F72" s="31">
        <f>'Input sheet 3'!$N$25</f>
        <v>0</v>
      </c>
      <c r="G72" s="31">
        <f>'Input sheet 3'!$O$25</f>
        <v>0</v>
      </c>
      <c r="H72" s="32">
        <f>'Input sheet 3'!$D$25</f>
        <v>0</v>
      </c>
      <c r="I72" s="32">
        <f>'Input sheet 3'!$E$25</f>
        <v>0</v>
      </c>
      <c r="J72" s="32">
        <f>'Input sheet 3'!$F$25</f>
        <v>0</v>
      </c>
      <c r="K72" s="32">
        <f>'Input sheet 3'!$G$25</f>
        <v>0</v>
      </c>
      <c r="L72" s="32">
        <f>'Input sheet 3'!$H$25</f>
        <v>0</v>
      </c>
      <c r="M72" s="32">
        <f>'Input sheet 3'!$I$25</f>
        <v>0</v>
      </c>
      <c r="N72" s="32">
        <f>'Input sheet 3'!$J$25</f>
        <v>0</v>
      </c>
      <c r="O72" s="32">
        <f>'Input sheet 3'!$K$25</f>
        <v>0</v>
      </c>
      <c r="P72" s="32">
        <f>'Input sheet 3'!$L$25</f>
        <v>0</v>
      </c>
    </row>
    <row r="73" spans="1:16" x14ac:dyDescent="0.55000000000000004">
      <c r="A73" t="str">
        <f t="shared" si="16"/>
        <v>計算ノード Fat 追加 (8 CPU コア単位)</v>
      </c>
      <c r="E73" s="31">
        <f>'Input sheet 3'!$M$27</f>
        <v>0</v>
      </c>
      <c r="F73" s="31">
        <f>'Input sheet 3'!$N$27</f>
        <v>0</v>
      </c>
      <c r="G73" s="31">
        <f>'Input sheet 3'!$O$27</f>
        <v>0</v>
      </c>
      <c r="H73" s="32">
        <f>'Input sheet 3'!$D$27</f>
        <v>0</v>
      </c>
      <c r="I73" s="32">
        <f>'Input sheet 3'!$E$27</f>
        <v>0</v>
      </c>
      <c r="J73" s="32">
        <f>'Input sheet 3'!$F$27</f>
        <v>0</v>
      </c>
      <c r="K73" s="32">
        <f>'Input sheet 3'!$G$27</f>
        <v>0</v>
      </c>
      <c r="L73" s="32">
        <f>'Input sheet 3'!$H$27</f>
        <v>0</v>
      </c>
      <c r="M73" s="32">
        <f>'Input sheet 3'!$I$27</f>
        <v>0</v>
      </c>
      <c r="N73" s="32">
        <f>'Input sheet 3'!$J$27</f>
        <v>0</v>
      </c>
      <c r="O73" s="32">
        <f>'Input sheet 3'!$K$27</f>
        <v>0</v>
      </c>
      <c r="P73" s="32">
        <f>'Input sheet 3'!$L$27</f>
        <v>0</v>
      </c>
    </row>
    <row r="74" spans="1:16" x14ac:dyDescent="0.55000000000000004">
      <c r="A74" t="str">
        <f t="shared" si="16"/>
        <v>アクセラレータ V100 追加 (1 GPU 単位)</v>
      </c>
      <c r="E74" s="31">
        <f>'Input sheet 3'!$M$29</f>
        <v>0</v>
      </c>
      <c r="F74" s="31">
        <f>'Input sheet 3'!$N$29</f>
        <v>0</v>
      </c>
      <c r="G74" s="31">
        <f>'Input sheet 3'!$O$29</f>
        <v>0</v>
      </c>
      <c r="H74" s="32">
        <f>'Input sheet 3'!$D$29</f>
        <v>0</v>
      </c>
      <c r="I74" s="32">
        <f>'Input sheet 3'!$E$29</f>
        <v>0</v>
      </c>
      <c r="J74" s="32">
        <f>'Input sheet 3'!$F$29</f>
        <v>0</v>
      </c>
      <c r="K74" s="32">
        <f>'Input sheet 3'!$G$29</f>
        <v>0</v>
      </c>
      <c r="L74" s="32">
        <f>'Input sheet 3'!$H$29</f>
        <v>0</v>
      </c>
      <c r="M74" s="32">
        <f>'Input sheet 3'!$I$29</f>
        <v>0</v>
      </c>
      <c r="N74" s="32">
        <f>'Input sheet 3'!$J$29</f>
        <v>0</v>
      </c>
      <c r="O74" s="32">
        <f>'Input sheet 3'!$K$29</f>
        <v>0</v>
      </c>
      <c r="P74" s="32">
        <f>'Input sheet 3'!$L$29</f>
        <v>0</v>
      </c>
    </row>
    <row r="75" spans="1:16" x14ac:dyDescent="0.55000000000000004">
      <c r="A75" t="str">
        <f t="shared" si="16"/>
        <v>アクセラレータ A100 追加 (1 GPU 単位)</v>
      </c>
      <c r="E75" s="31">
        <f>'Input sheet 3'!$M$31</f>
        <v>0</v>
      </c>
      <c r="F75" s="31">
        <f>'Input sheet 3'!$N$31</f>
        <v>0</v>
      </c>
      <c r="G75" s="31">
        <f>'Input sheet 3'!$O$31</f>
        <v>0</v>
      </c>
      <c r="H75" s="31">
        <f>'Input sheet 3'!$D$31</f>
        <v>0</v>
      </c>
      <c r="I75" s="31">
        <f>'Input sheet 3'!$E$31</f>
        <v>0</v>
      </c>
      <c r="J75" s="31">
        <f>'Input sheet 3'!$F$31</f>
        <v>0</v>
      </c>
      <c r="K75" s="31">
        <f>'Input sheet 3'!$G$31</f>
        <v>0</v>
      </c>
      <c r="L75" s="31">
        <f>'Input sheet 3'!$H$31</f>
        <v>0</v>
      </c>
      <c r="M75" s="31">
        <f>'Input sheet 3'!$I$31</f>
        <v>0</v>
      </c>
      <c r="N75" s="31">
        <f>'Input sheet 3'!$J$31</f>
        <v>0</v>
      </c>
      <c r="O75" s="31">
        <f>'Input sheet 3'!$K$31</f>
        <v>0</v>
      </c>
      <c r="P75" s="31">
        <f>'Input sheet 3'!$L$31</f>
        <v>0</v>
      </c>
    </row>
    <row r="76" spans="1:16" x14ac:dyDescent="0.55000000000000004">
      <c r="A76" t="str">
        <f t="shared" si="16"/>
        <v>アクセラレータ H100 追加 (1 GPU 単位)</v>
      </c>
      <c r="E76" s="31">
        <f>'Input sheet 3'!$M$33</f>
        <v>0</v>
      </c>
      <c r="F76" s="31">
        <f>'Input sheet 3'!$N$33</f>
        <v>0</v>
      </c>
      <c r="G76" s="31">
        <f>'Input sheet 3'!$O$33</f>
        <v>0</v>
      </c>
      <c r="H76" s="31">
        <f>'Input sheet 3'!$D$33</f>
        <v>0</v>
      </c>
      <c r="I76" s="31">
        <f>'Input sheet 3'!$E$33</f>
        <v>0</v>
      </c>
      <c r="J76" s="31">
        <f>'Input sheet 3'!$F$33</f>
        <v>0</v>
      </c>
      <c r="K76" s="31">
        <f>'Input sheet 3'!$G$33</f>
        <v>0</v>
      </c>
      <c r="L76" s="31">
        <f>'Input sheet 3'!$H$33</f>
        <v>0</v>
      </c>
      <c r="M76" s="31">
        <f>'Input sheet 3'!$I$33</f>
        <v>0</v>
      </c>
      <c r="N76" s="31">
        <f>'Input sheet 3'!$J$33</f>
        <v>0</v>
      </c>
      <c r="O76" s="31">
        <f>'Input sheet 3'!$K$33</f>
        <v>0</v>
      </c>
      <c r="P76" s="31">
        <f>'Input sheet 3'!$L$33</f>
        <v>0</v>
      </c>
    </row>
    <row r="77" spans="1:16" x14ac:dyDescent="0.55000000000000004">
      <c r="A77" t="str">
        <f t="shared" si="16"/>
        <v>ホーム Disk 容量追加 (1 TiB 単位)</v>
      </c>
      <c r="E77" s="31">
        <f>'Input sheet 3'!$M$35</f>
        <v>0</v>
      </c>
      <c r="F77" s="31">
        <f>'Input sheet 3'!$N$35</f>
        <v>0</v>
      </c>
      <c r="G77" s="31">
        <f>'Input sheet 3'!$O$35</f>
        <v>0</v>
      </c>
      <c r="H77" s="32">
        <f>'Input sheet 3'!$D$35</f>
        <v>0</v>
      </c>
      <c r="I77" s="32">
        <f>'Input sheet 3'!$E$35</f>
        <v>0</v>
      </c>
      <c r="J77" s="32">
        <f>'Input sheet 3'!$F$35</f>
        <v>0</v>
      </c>
      <c r="K77" s="32">
        <f>'Input sheet 3'!$G$35</f>
        <v>0</v>
      </c>
      <c r="L77" s="32">
        <f>'Input sheet 3'!$H$35</f>
        <v>0</v>
      </c>
      <c r="M77" s="32">
        <f>'Input sheet 3'!$I$35</f>
        <v>0</v>
      </c>
      <c r="N77" s="32">
        <f>'Input sheet 3'!$J$35</f>
        <v>0</v>
      </c>
      <c r="O77" s="32">
        <f>'Input sheet 3'!$K$35</f>
        <v>0</v>
      </c>
      <c r="P77" s="32">
        <f>'Input sheet 3'!$L$35</f>
        <v>0</v>
      </c>
    </row>
    <row r="78" spans="1:16" x14ac:dyDescent="0.55000000000000004">
      <c r="A78" t="str">
        <f t="shared" si="16"/>
        <v>アーカイブ Disk 追加 (1 TiB 単位)</v>
      </c>
      <c r="E78" s="31">
        <f>'Input sheet 3'!$M$37</f>
        <v>0</v>
      </c>
      <c r="F78" s="31">
        <f>'Input sheet 3'!$N$37</f>
        <v>0</v>
      </c>
      <c r="G78" s="31">
        <f>'Input sheet 3'!$O$37</f>
        <v>0</v>
      </c>
      <c r="H78" s="32">
        <f>'Input sheet 3'!$D$37</f>
        <v>0</v>
      </c>
      <c r="I78" s="32">
        <f>'Input sheet 3'!$E$37</f>
        <v>0</v>
      </c>
      <c r="J78" s="32">
        <f>'Input sheet 3'!$F$37</f>
        <v>0</v>
      </c>
      <c r="K78" s="32">
        <f>'Input sheet 3'!$G$37</f>
        <v>0</v>
      </c>
      <c r="L78" s="32">
        <f>'Input sheet 3'!$H$37</f>
        <v>0</v>
      </c>
      <c r="M78" s="32">
        <f>'Input sheet 3'!$I$37</f>
        <v>0</v>
      </c>
      <c r="N78" s="32">
        <f>'Input sheet 3'!$J$37</f>
        <v>0</v>
      </c>
      <c r="O78" s="32">
        <f>'Input sheet 3'!$K$37</f>
        <v>0</v>
      </c>
      <c r="P78" s="32">
        <f>'Input sheet 3'!$L$37</f>
        <v>0</v>
      </c>
    </row>
    <row r="79" spans="1:16" x14ac:dyDescent="0.55000000000000004">
      <c r="A79" t="str">
        <f>'Input sheet 3'!B62</f>
        <v>サポートポイント【SP】</v>
      </c>
      <c r="E79" s="31">
        <f>IF(banana!E62,'Input sheet 4'!$C13,0)</f>
        <v>0</v>
      </c>
      <c r="F79" s="31">
        <f>IF(banana!F62,'Input sheet 4'!$C13,0)</f>
        <v>0</v>
      </c>
      <c r="G79" s="31">
        <f>IF(banana!G62,'Input sheet 4'!$C13,0)</f>
        <v>0</v>
      </c>
      <c r="H79" s="31">
        <f>IF(banana!H62,'Input sheet 4'!$C13,0)</f>
        <v>0</v>
      </c>
      <c r="I79" s="31">
        <f>IF(banana!I62,'Input sheet 4'!$C13,0)</f>
        <v>0</v>
      </c>
      <c r="J79" s="31">
        <f>IF(banana!J62,'Input sheet 4'!$C13,0)</f>
        <v>0</v>
      </c>
      <c r="K79" s="31">
        <f>IF(banana!K62,'Input sheet 4'!$C13,0)</f>
        <v>0</v>
      </c>
      <c r="L79" s="31">
        <f>IF(banana!L62,'Input sheet 4'!$C13,0)</f>
        <v>0</v>
      </c>
      <c r="M79" s="31">
        <f>IF(banana!M62,'Input sheet 4'!$C13,0)</f>
        <v>0</v>
      </c>
      <c r="N79" s="31">
        <f>IF(banana!N62,'Input sheet 4'!$C13,0)</f>
        <v>0</v>
      </c>
      <c r="O79" s="31">
        <f>IF(banana!O62,'Input sheet 4'!$C13,0)</f>
        <v>0</v>
      </c>
      <c r="P79" s="31">
        <f>IF(banana!P62,'Input sheet 4'!$C13,0)</f>
        <v>0</v>
      </c>
    </row>
    <row r="81" spans="1:16" x14ac:dyDescent="0.55000000000000004">
      <c r="A81" t="str">
        <f t="shared" ref="A81:A87" si="17">A70</f>
        <v>コース</v>
      </c>
      <c r="E81" s="31">
        <f>'Input sheet 3'!M$53</f>
        <v>0</v>
      </c>
      <c r="F81" s="31">
        <f>'Input sheet 3'!N$53</f>
        <v>0</v>
      </c>
      <c r="G81" s="31">
        <f>'Input sheet 3'!O$53</f>
        <v>0</v>
      </c>
      <c r="H81" s="31">
        <f>'Input sheet 3'!D$53</f>
        <v>0</v>
      </c>
      <c r="I81" s="31">
        <f>'Input sheet 3'!E$53</f>
        <v>0</v>
      </c>
      <c r="J81" s="31">
        <f>'Input sheet 3'!F$53</f>
        <v>0</v>
      </c>
      <c r="K81" s="31">
        <f>'Input sheet 3'!G$53</f>
        <v>0</v>
      </c>
      <c r="L81" s="31">
        <f>'Input sheet 3'!H$53</f>
        <v>0</v>
      </c>
      <c r="M81" s="31">
        <f>'Input sheet 3'!I$53</f>
        <v>0</v>
      </c>
      <c r="N81" s="31">
        <f>'Input sheet 3'!J$53</f>
        <v>0</v>
      </c>
      <c r="O81" s="31">
        <f>'Input sheet 3'!K$53</f>
        <v>0</v>
      </c>
      <c r="P81" s="31">
        <f>'Input sheet 3'!L$53</f>
        <v>0</v>
      </c>
    </row>
    <row r="82" spans="1:16" x14ac:dyDescent="0.55000000000000004">
      <c r="A82" t="str">
        <f t="shared" si="17"/>
        <v>専有追加 (192 CPU コア単位)</v>
      </c>
      <c r="E82" s="32">
        <f>E71*$H48</f>
        <v>0</v>
      </c>
      <c r="F82" s="32">
        <f t="shared" ref="F82:P82" si="18">F71*$H48</f>
        <v>0</v>
      </c>
      <c r="G82" s="32">
        <f t="shared" si="18"/>
        <v>0</v>
      </c>
      <c r="H82" s="32">
        <f t="shared" si="18"/>
        <v>0</v>
      </c>
      <c r="I82" s="32">
        <f t="shared" si="18"/>
        <v>0</v>
      </c>
      <c r="J82" s="32">
        <f t="shared" si="18"/>
        <v>0</v>
      </c>
      <c r="K82" s="32">
        <f t="shared" si="18"/>
        <v>0</v>
      </c>
      <c r="L82" s="32">
        <f t="shared" si="18"/>
        <v>0</v>
      </c>
      <c r="M82" s="32">
        <f t="shared" si="18"/>
        <v>0</v>
      </c>
      <c r="N82" s="32">
        <f t="shared" si="18"/>
        <v>0</v>
      </c>
      <c r="O82" s="32">
        <f t="shared" si="18"/>
        <v>0</v>
      </c>
      <c r="P82" s="32">
        <f t="shared" si="18"/>
        <v>0</v>
      </c>
    </row>
    <row r="83" spans="1:16" x14ac:dyDescent="0.55000000000000004">
      <c r="A83" t="str">
        <f t="shared" si="17"/>
        <v>共有追加 (310 CPU コア単位)</v>
      </c>
      <c r="E83" s="32">
        <f t="shared" ref="E83:P83" si="19">E72*$H49</f>
        <v>0</v>
      </c>
      <c r="F83" s="32">
        <f t="shared" si="19"/>
        <v>0</v>
      </c>
      <c r="G83" s="32">
        <f t="shared" si="19"/>
        <v>0</v>
      </c>
      <c r="H83" s="32">
        <f t="shared" si="19"/>
        <v>0</v>
      </c>
      <c r="I83" s="32">
        <f t="shared" si="19"/>
        <v>0</v>
      </c>
      <c r="J83" s="32">
        <f t="shared" si="19"/>
        <v>0</v>
      </c>
      <c r="K83" s="32">
        <f t="shared" si="19"/>
        <v>0</v>
      </c>
      <c r="L83" s="32">
        <f t="shared" si="19"/>
        <v>0</v>
      </c>
      <c r="M83" s="32">
        <f t="shared" si="19"/>
        <v>0</v>
      </c>
      <c r="N83" s="32">
        <f t="shared" si="19"/>
        <v>0</v>
      </c>
      <c r="O83" s="32">
        <f t="shared" si="19"/>
        <v>0</v>
      </c>
      <c r="P83" s="32">
        <f t="shared" si="19"/>
        <v>0</v>
      </c>
    </row>
    <row r="84" spans="1:16" x14ac:dyDescent="0.55000000000000004">
      <c r="A84" t="str">
        <f t="shared" si="17"/>
        <v>計算ノード Fat 追加 (8 CPU コア単位)</v>
      </c>
      <c r="E84" s="32">
        <f t="shared" ref="E84:P84" si="20">E73*$H50</f>
        <v>0</v>
      </c>
      <c r="F84" s="32">
        <f t="shared" si="20"/>
        <v>0</v>
      </c>
      <c r="G84" s="32">
        <f t="shared" si="20"/>
        <v>0</v>
      </c>
      <c r="H84" s="32">
        <f t="shared" si="20"/>
        <v>0</v>
      </c>
      <c r="I84" s="32">
        <f t="shared" si="20"/>
        <v>0</v>
      </c>
      <c r="J84" s="32">
        <f t="shared" si="20"/>
        <v>0</v>
      </c>
      <c r="K84" s="32">
        <f t="shared" si="20"/>
        <v>0</v>
      </c>
      <c r="L84" s="32">
        <f t="shared" si="20"/>
        <v>0</v>
      </c>
      <c r="M84" s="32">
        <f t="shared" si="20"/>
        <v>0</v>
      </c>
      <c r="N84" s="32">
        <f t="shared" si="20"/>
        <v>0</v>
      </c>
      <c r="O84" s="32">
        <f t="shared" si="20"/>
        <v>0</v>
      </c>
      <c r="P84" s="32">
        <f t="shared" si="20"/>
        <v>0</v>
      </c>
    </row>
    <row r="85" spans="1:16" x14ac:dyDescent="0.55000000000000004">
      <c r="A85" t="str">
        <f t="shared" si="17"/>
        <v>アクセラレータ V100 追加 (1 GPU 単位)</v>
      </c>
      <c r="E85" s="32">
        <f t="shared" ref="E85:P85" si="21">E74*$H51</f>
        <v>0</v>
      </c>
      <c r="F85" s="32">
        <f t="shared" si="21"/>
        <v>0</v>
      </c>
      <c r="G85" s="32">
        <f t="shared" si="21"/>
        <v>0</v>
      </c>
      <c r="H85" s="32">
        <f t="shared" si="21"/>
        <v>0</v>
      </c>
      <c r="I85" s="32">
        <f t="shared" si="21"/>
        <v>0</v>
      </c>
      <c r="J85" s="32">
        <f t="shared" si="21"/>
        <v>0</v>
      </c>
      <c r="K85" s="32">
        <f t="shared" si="21"/>
        <v>0</v>
      </c>
      <c r="L85" s="32">
        <f t="shared" si="21"/>
        <v>0</v>
      </c>
      <c r="M85" s="32">
        <f t="shared" si="21"/>
        <v>0</v>
      </c>
      <c r="N85" s="32">
        <f t="shared" si="21"/>
        <v>0</v>
      </c>
      <c r="O85" s="32">
        <f t="shared" si="21"/>
        <v>0</v>
      </c>
      <c r="P85" s="32">
        <f t="shared" si="21"/>
        <v>0</v>
      </c>
    </row>
    <row r="86" spans="1:16" x14ac:dyDescent="0.55000000000000004">
      <c r="A86" t="str">
        <f t="shared" si="17"/>
        <v>アクセラレータ A100 追加 (1 GPU 単位)</v>
      </c>
      <c r="E86" s="32">
        <f t="shared" ref="E86:P86" si="22">E75*$H52</f>
        <v>0</v>
      </c>
      <c r="F86" s="32">
        <f t="shared" si="22"/>
        <v>0</v>
      </c>
      <c r="G86" s="32">
        <f t="shared" si="22"/>
        <v>0</v>
      </c>
      <c r="H86" s="32">
        <f t="shared" si="22"/>
        <v>0</v>
      </c>
      <c r="I86" s="32">
        <f t="shared" si="22"/>
        <v>0</v>
      </c>
      <c r="J86" s="32">
        <f t="shared" si="22"/>
        <v>0</v>
      </c>
      <c r="K86" s="32">
        <f t="shared" si="22"/>
        <v>0</v>
      </c>
      <c r="L86" s="32">
        <f t="shared" si="22"/>
        <v>0</v>
      </c>
      <c r="M86" s="32">
        <f t="shared" si="22"/>
        <v>0</v>
      </c>
      <c r="N86" s="32">
        <f t="shared" si="22"/>
        <v>0</v>
      </c>
      <c r="O86" s="32">
        <f t="shared" si="22"/>
        <v>0</v>
      </c>
      <c r="P86" s="32">
        <f t="shared" si="22"/>
        <v>0</v>
      </c>
    </row>
    <row r="87" spans="1:16" x14ac:dyDescent="0.55000000000000004">
      <c r="A87" t="str">
        <f t="shared" si="17"/>
        <v>アクセラレータ H100 追加 (1 GPU 単位)</v>
      </c>
      <c r="E87" s="32">
        <f t="shared" ref="E87:P87" si="23">E76*$H53</f>
        <v>0</v>
      </c>
      <c r="F87" s="32">
        <f t="shared" si="23"/>
        <v>0</v>
      </c>
      <c r="G87" s="32">
        <f t="shared" si="23"/>
        <v>0</v>
      </c>
      <c r="H87" s="32">
        <f t="shared" si="23"/>
        <v>0</v>
      </c>
      <c r="I87" s="32">
        <f t="shared" si="23"/>
        <v>0</v>
      </c>
      <c r="J87" s="32">
        <f t="shared" si="23"/>
        <v>0</v>
      </c>
      <c r="K87" s="32">
        <f t="shared" si="23"/>
        <v>0</v>
      </c>
      <c r="L87" s="32">
        <f t="shared" si="23"/>
        <v>0</v>
      </c>
      <c r="M87" s="32">
        <f t="shared" si="23"/>
        <v>0</v>
      </c>
      <c r="N87" s="32">
        <f t="shared" si="23"/>
        <v>0</v>
      </c>
      <c r="O87" s="32">
        <f t="shared" si="23"/>
        <v>0</v>
      </c>
      <c r="P87" s="32">
        <f t="shared" si="23"/>
        <v>0</v>
      </c>
    </row>
    <row r="88" spans="1:16" x14ac:dyDescent="0.55000000000000004">
      <c r="A88" t="str">
        <f t="shared" ref="A88" si="24">A77</f>
        <v>ホーム Disk 容量追加 (1 TiB 単位)</v>
      </c>
      <c r="E88" s="32">
        <f t="shared" ref="E88:P88" si="25">E77*$H54</f>
        <v>0</v>
      </c>
      <c r="F88" s="32">
        <f t="shared" si="25"/>
        <v>0</v>
      </c>
      <c r="G88" s="32">
        <f t="shared" si="25"/>
        <v>0</v>
      </c>
      <c r="H88" s="32">
        <f t="shared" si="25"/>
        <v>0</v>
      </c>
      <c r="I88" s="32">
        <f t="shared" si="25"/>
        <v>0</v>
      </c>
      <c r="J88" s="32">
        <f t="shared" si="25"/>
        <v>0</v>
      </c>
      <c r="K88" s="32">
        <f t="shared" si="25"/>
        <v>0</v>
      </c>
      <c r="L88" s="32">
        <f t="shared" si="25"/>
        <v>0</v>
      </c>
      <c r="M88" s="32">
        <f t="shared" si="25"/>
        <v>0</v>
      </c>
      <c r="N88" s="32">
        <f t="shared" si="25"/>
        <v>0</v>
      </c>
      <c r="O88" s="32">
        <f t="shared" si="25"/>
        <v>0</v>
      </c>
      <c r="P88" s="32">
        <f t="shared" si="25"/>
        <v>0</v>
      </c>
    </row>
    <row r="89" spans="1:16" x14ac:dyDescent="0.55000000000000004">
      <c r="A89" t="str">
        <f>A78</f>
        <v>アーカイブ Disk 追加 (1 TiB 単位)</v>
      </c>
      <c r="E89" s="32">
        <f t="shared" ref="E89:P89" si="26">E78*$H55</f>
        <v>0</v>
      </c>
      <c r="F89" s="32">
        <f t="shared" si="26"/>
        <v>0</v>
      </c>
      <c r="G89" s="32">
        <f t="shared" si="26"/>
        <v>0</v>
      </c>
      <c r="H89" s="32">
        <f t="shared" si="26"/>
        <v>0</v>
      </c>
      <c r="I89" s="32">
        <f t="shared" si="26"/>
        <v>0</v>
      </c>
      <c r="J89" s="32">
        <f t="shared" si="26"/>
        <v>0</v>
      </c>
      <c r="K89" s="32">
        <f t="shared" si="26"/>
        <v>0</v>
      </c>
      <c r="L89" s="32">
        <f t="shared" si="26"/>
        <v>0</v>
      </c>
      <c r="M89" s="32">
        <f t="shared" si="26"/>
        <v>0</v>
      </c>
      <c r="N89" s="32">
        <f t="shared" si="26"/>
        <v>0</v>
      </c>
      <c r="O89" s="32">
        <f t="shared" si="26"/>
        <v>0</v>
      </c>
      <c r="P89" s="32">
        <f t="shared" si="26"/>
        <v>0</v>
      </c>
    </row>
    <row r="90" spans="1:16" x14ac:dyDescent="0.55000000000000004">
      <c r="A90" t="str">
        <f>A79</f>
        <v>サポートポイント【SP】</v>
      </c>
      <c r="E90" s="32">
        <f>E79*banana!$A$112</f>
        <v>0</v>
      </c>
      <c r="F90" s="32">
        <f>F79*banana!$A$112</f>
        <v>0</v>
      </c>
      <c r="G90" s="32">
        <f>G79*banana!$A$112</f>
        <v>0</v>
      </c>
      <c r="H90" s="32">
        <f>H79*banana!$A$112</f>
        <v>0</v>
      </c>
      <c r="I90" s="32">
        <f>I79*banana!$A$112</f>
        <v>0</v>
      </c>
      <c r="J90" s="32">
        <f>J79*banana!$A$112</f>
        <v>0</v>
      </c>
      <c r="K90" s="32">
        <f>K79*banana!$A$112</f>
        <v>0</v>
      </c>
      <c r="L90" s="32">
        <f>L79*banana!$A$112</f>
        <v>0</v>
      </c>
      <c r="M90" s="32">
        <f>M79*banana!$A$112</f>
        <v>0</v>
      </c>
      <c r="N90" s="32">
        <f>N79*banana!$A$112</f>
        <v>0</v>
      </c>
      <c r="O90" s="32">
        <f>O79*banana!$A$112</f>
        <v>0</v>
      </c>
      <c r="P90" s="32">
        <f>P79*banana!$A$112</f>
        <v>0</v>
      </c>
    </row>
    <row r="91" spans="1:16" x14ac:dyDescent="0.55000000000000004">
      <c r="E91" s="32"/>
      <c r="F91" s="32"/>
      <c r="G91" s="32"/>
      <c r="H91" s="32"/>
      <c r="I91" s="32"/>
      <c r="J91" s="32"/>
      <c r="K91" s="32"/>
      <c r="L91" s="32"/>
      <c r="M91" s="32"/>
      <c r="N91" s="32"/>
      <c r="O91" s="32"/>
      <c r="P91" s="32"/>
    </row>
    <row r="92" spans="1:16" x14ac:dyDescent="0.55000000000000004">
      <c r="A92" t="str">
        <f>IF(L,"共通オプション","Common options")</f>
        <v>共通オプション</v>
      </c>
      <c r="E92" s="32">
        <f>SUM(E82:E90)</f>
        <v>0</v>
      </c>
      <c r="F92" s="32">
        <f>SUM(F82:F90)</f>
        <v>0</v>
      </c>
      <c r="G92" s="32">
        <f t="shared" ref="G92:P92" si="27">SUM(G82:G90)</f>
        <v>0</v>
      </c>
      <c r="H92" s="32">
        <f t="shared" si="27"/>
        <v>0</v>
      </c>
      <c r="I92" s="32">
        <f t="shared" si="27"/>
        <v>0</v>
      </c>
      <c r="J92" s="32">
        <f t="shared" si="27"/>
        <v>0</v>
      </c>
      <c r="K92" s="32">
        <f t="shared" si="27"/>
        <v>0</v>
      </c>
      <c r="L92" s="32">
        <f t="shared" si="27"/>
        <v>0</v>
      </c>
      <c r="M92" s="32">
        <f t="shared" si="27"/>
        <v>0</v>
      </c>
      <c r="N92" s="32">
        <f t="shared" si="27"/>
        <v>0</v>
      </c>
      <c r="O92" s="32">
        <f t="shared" si="27"/>
        <v>0</v>
      </c>
      <c r="P92" s="32">
        <f t="shared" si="27"/>
        <v>0</v>
      </c>
    </row>
    <row r="94" spans="1:16" x14ac:dyDescent="0.55000000000000004">
      <c r="A94" t="s">
        <v>86</v>
      </c>
      <c r="E94" s="32">
        <f>SUM(E81:E90)</f>
        <v>0</v>
      </c>
      <c r="F94" s="32">
        <f t="shared" ref="F94:P94" si="28">SUM(F81:F90)</f>
        <v>0</v>
      </c>
      <c r="G94" s="32">
        <f t="shared" si="28"/>
        <v>0</v>
      </c>
      <c r="H94" s="32">
        <f t="shared" si="28"/>
        <v>0</v>
      </c>
      <c r="I94" s="32">
        <f t="shared" si="28"/>
        <v>0</v>
      </c>
      <c r="J94" s="32">
        <f t="shared" si="28"/>
        <v>0</v>
      </c>
      <c r="K94" s="32">
        <f t="shared" si="28"/>
        <v>0</v>
      </c>
      <c r="L94" s="32">
        <f t="shared" si="28"/>
        <v>0</v>
      </c>
      <c r="M94" s="32">
        <f t="shared" si="28"/>
        <v>0</v>
      </c>
      <c r="N94" s="32">
        <f t="shared" si="28"/>
        <v>0</v>
      </c>
      <c r="O94" s="32">
        <f t="shared" si="28"/>
        <v>0</v>
      </c>
      <c r="P94" s="32">
        <f t="shared" si="28"/>
        <v>0</v>
      </c>
    </row>
    <row r="95" spans="1:16" x14ac:dyDescent="0.55000000000000004">
      <c r="E95" s="32"/>
      <c r="F95" s="32"/>
      <c r="G95" s="32"/>
      <c r="H95" s="32"/>
      <c r="I95" s="32"/>
      <c r="J95" s="32"/>
      <c r="K95" s="32"/>
      <c r="L95" s="32"/>
      <c r="M95" s="32"/>
      <c r="N95" s="32"/>
      <c r="O95" s="32"/>
      <c r="P95" s="32"/>
    </row>
    <row r="96" spans="1:16" x14ac:dyDescent="0.55000000000000004">
      <c r="A96" t="str">
        <f>'Input sheet 3'!B64</f>
        <v>参考利用料金 (合計)</v>
      </c>
      <c r="E96" s="32">
        <f>SUM(E94:P94)</f>
        <v>0</v>
      </c>
      <c r="F96" s="32"/>
      <c r="G96" s="32"/>
      <c r="H96" s="32"/>
      <c r="I96" s="32"/>
      <c r="J96" s="32"/>
      <c r="K96" s="32"/>
      <c r="L96" s="32"/>
      <c r="M96" s="32"/>
      <c r="N96" s="32"/>
      <c r="O96" s="32"/>
      <c r="P96" s="32"/>
    </row>
    <row r="98" spans="1:16" x14ac:dyDescent="0.55000000000000004">
      <c r="A98" t="str">
        <f>IF(L,"利用可能なメモリ量","Amount of usable memories")&amp;" (GB)"</f>
        <v>利用可能なメモリ量 (GB)</v>
      </c>
      <c r="E98" s="33">
        <f>'Input sheet 3'!M40</f>
        <v>0</v>
      </c>
      <c r="F98" s="33">
        <f>'Input sheet 3'!N40</f>
        <v>0</v>
      </c>
      <c r="G98" s="33">
        <f>'Input sheet 3'!O40</f>
        <v>0</v>
      </c>
      <c r="H98" s="33">
        <f>'Input sheet 3'!D40</f>
        <v>0</v>
      </c>
      <c r="I98" s="33">
        <f>'Input sheet 3'!E40</f>
        <v>0</v>
      </c>
      <c r="J98" s="33">
        <f>'Input sheet 3'!F40</f>
        <v>0</v>
      </c>
      <c r="K98" s="33">
        <f>'Input sheet 3'!G40</f>
        <v>0</v>
      </c>
      <c r="L98" s="33">
        <f>'Input sheet 3'!H40</f>
        <v>0</v>
      </c>
      <c r="M98" s="33">
        <f>'Input sheet 3'!I40</f>
        <v>0</v>
      </c>
      <c r="N98" s="33">
        <f>'Input sheet 3'!J40</f>
        <v>0</v>
      </c>
      <c r="O98" s="33">
        <f>'Input sheet 3'!K40</f>
        <v>0</v>
      </c>
      <c r="P98" s="33">
        <f>'Input sheet 3'!L40</f>
        <v>0</v>
      </c>
    </row>
    <row r="99" spans="1:16" x14ac:dyDescent="0.55000000000000004">
      <c r="A99" t="str">
        <f>IF(L,"利用可能な CPU コア数 (専有)","Number of potentially usable CPU cores (exclusive)")</f>
        <v>利用可能な CPU コア数 (専有)</v>
      </c>
      <c r="E99" s="33">
        <f>'Input sheet 3'!M41</f>
        <v>0</v>
      </c>
      <c r="F99" s="33">
        <f>'Input sheet 3'!N41</f>
        <v>0</v>
      </c>
      <c r="G99" s="33">
        <f>'Input sheet 3'!O41</f>
        <v>0</v>
      </c>
      <c r="H99" s="33">
        <f>'Input sheet 3'!D41</f>
        <v>0</v>
      </c>
      <c r="I99" s="33">
        <f>'Input sheet 3'!E41</f>
        <v>0</v>
      </c>
      <c r="J99" s="33">
        <f>'Input sheet 3'!F41</f>
        <v>0</v>
      </c>
      <c r="K99" s="33">
        <f>'Input sheet 3'!G41</f>
        <v>0</v>
      </c>
      <c r="L99" s="33">
        <f>'Input sheet 3'!H41</f>
        <v>0</v>
      </c>
      <c r="M99" s="33">
        <f>'Input sheet 3'!I41</f>
        <v>0</v>
      </c>
      <c r="N99" s="33">
        <f>'Input sheet 3'!J41</f>
        <v>0</v>
      </c>
      <c r="O99" s="33">
        <f>'Input sheet 3'!K41</f>
        <v>0</v>
      </c>
      <c r="P99" s="33">
        <f>'Input sheet 3'!L41</f>
        <v>0</v>
      </c>
    </row>
    <row r="100" spans="1:16" x14ac:dyDescent="0.55000000000000004">
      <c r="A100" t="str">
        <f>IF(L,"利用可能な CPU コア数 (共有)","Number of potentially usable CPU cores (shared)")</f>
        <v>利用可能な CPU コア数 (共有)</v>
      </c>
      <c r="E100" s="33">
        <f>'Input sheet 3'!M42</f>
        <v>0</v>
      </c>
      <c r="F100" s="33">
        <f>'Input sheet 3'!N42</f>
        <v>0</v>
      </c>
      <c r="G100" s="33">
        <f>'Input sheet 3'!O42</f>
        <v>0</v>
      </c>
      <c r="H100" s="33">
        <f>'Input sheet 3'!D42</f>
        <v>0</v>
      </c>
      <c r="I100" s="33">
        <f>'Input sheet 3'!E42</f>
        <v>0</v>
      </c>
      <c r="J100" s="33">
        <f>'Input sheet 3'!F42</f>
        <v>0</v>
      </c>
      <c r="K100" s="33">
        <f>'Input sheet 3'!G42</f>
        <v>0</v>
      </c>
      <c r="L100" s="33">
        <f>'Input sheet 3'!H42</f>
        <v>0</v>
      </c>
      <c r="M100" s="33">
        <f>'Input sheet 3'!I42</f>
        <v>0</v>
      </c>
      <c r="N100" s="33">
        <f>'Input sheet 3'!J42</f>
        <v>0</v>
      </c>
      <c r="O100" s="33">
        <f>'Input sheet 3'!K42</f>
        <v>0</v>
      </c>
      <c r="P100" s="33">
        <f>'Input sheet 3'!L42</f>
        <v>0</v>
      </c>
    </row>
    <row r="101" spans="1:16" x14ac:dyDescent="0.55000000000000004">
      <c r="A101" t="str">
        <f>IF(L,"利用可能な Fat ノード CPU コア数 (共有)","Number of potentially usable Fat node CPU cores (shared)")</f>
        <v>利用可能な Fat ノード CPU コア数 (共有)</v>
      </c>
      <c r="E101" s="33">
        <f>'Input sheet 3'!M43</f>
        <v>0</v>
      </c>
      <c r="F101" s="33">
        <f>'Input sheet 3'!N43</f>
        <v>0</v>
      </c>
      <c r="G101" s="33">
        <f>'Input sheet 3'!O43</f>
        <v>0</v>
      </c>
      <c r="H101" s="33">
        <f>'Input sheet 3'!D43</f>
        <v>0</v>
      </c>
      <c r="I101" s="33">
        <f>'Input sheet 3'!E43</f>
        <v>0</v>
      </c>
      <c r="J101" s="33">
        <f>'Input sheet 3'!F43</f>
        <v>0</v>
      </c>
      <c r="K101" s="33">
        <f>'Input sheet 3'!G43</f>
        <v>0</v>
      </c>
      <c r="L101" s="33">
        <f>'Input sheet 3'!H43</f>
        <v>0</v>
      </c>
      <c r="M101" s="33">
        <f>'Input sheet 3'!I43</f>
        <v>0</v>
      </c>
      <c r="N101" s="33">
        <f>'Input sheet 3'!J43</f>
        <v>0</v>
      </c>
      <c r="O101" s="33">
        <f>'Input sheet 3'!K43</f>
        <v>0</v>
      </c>
      <c r="P101" s="33">
        <f>'Input sheet 3'!L43</f>
        <v>0</v>
      </c>
    </row>
    <row r="102" spans="1:16" x14ac:dyDescent="0.55000000000000004">
      <c r="A102" t="str">
        <f>IF(L,"利用可能な V100 GPU 数 (共有)","Number of potentially usable V100 GPU (shared)")</f>
        <v>利用可能な V100 GPU 数 (共有)</v>
      </c>
      <c r="E102" s="33">
        <f>'Input sheet 3'!M44</f>
        <v>0</v>
      </c>
      <c r="F102" s="33">
        <f>'Input sheet 3'!N44</f>
        <v>0</v>
      </c>
      <c r="G102" s="33">
        <f>'Input sheet 3'!O44</f>
        <v>0</v>
      </c>
      <c r="H102" s="33">
        <f>'Input sheet 3'!D44</f>
        <v>0</v>
      </c>
      <c r="I102" s="33">
        <f>'Input sheet 3'!E44</f>
        <v>0</v>
      </c>
      <c r="J102" s="33">
        <f>'Input sheet 3'!F44</f>
        <v>0</v>
      </c>
      <c r="K102" s="33">
        <f>'Input sheet 3'!G44</f>
        <v>0</v>
      </c>
      <c r="L102" s="33">
        <f>'Input sheet 3'!H44</f>
        <v>0</v>
      </c>
      <c r="M102" s="33">
        <f>'Input sheet 3'!I44</f>
        <v>0</v>
      </c>
      <c r="N102" s="33">
        <f>'Input sheet 3'!J44</f>
        <v>0</v>
      </c>
      <c r="O102" s="33">
        <f>'Input sheet 3'!K44</f>
        <v>0</v>
      </c>
      <c r="P102" s="33">
        <f>'Input sheet 3'!L44</f>
        <v>0</v>
      </c>
    </row>
    <row r="103" spans="1:16" x14ac:dyDescent="0.55000000000000004">
      <c r="A103" t="str">
        <f>IF(L,"利用可能な A100 GPU 数 (共有)","Number of potentially usable A100 GPU (shared)")</f>
        <v>利用可能な A100 GPU 数 (共有)</v>
      </c>
      <c r="E103" s="33">
        <f>'Input sheet 3'!M45</f>
        <v>0</v>
      </c>
      <c r="F103" s="33">
        <f>'Input sheet 3'!N45</f>
        <v>0</v>
      </c>
      <c r="G103" s="33">
        <f>'Input sheet 3'!O45</f>
        <v>0</v>
      </c>
      <c r="H103" s="33">
        <f>'Input sheet 3'!D45</f>
        <v>0</v>
      </c>
      <c r="I103" s="33">
        <f>'Input sheet 3'!E45</f>
        <v>0</v>
      </c>
      <c r="J103" s="33">
        <f>'Input sheet 3'!F45</f>
        <v>0</v>
      </c>
      <c r="K103" s="33">
        <f>'Input sheet 3'!G45</f>
        <v>0</v>
      </c>
      <c r="L103" s="33">
        <f>'Input sheet 3'!H45</f>
        <v>0</v>
      </c>
      <c r="M103" s="33">
        <f>'Input sheet 3'!I45</f>
        <v>0</v>
      </c>
      <c r="N103" s="33">
        <f>'Input sheet 3'!J45</f>
        <v>0</v>
      </c>
      <c r="O103" s="33">
        <f>'Input sheet 3'!K45</f>
        <v>0</v>
      </c>
      <c r="P103" s="33">
        <f>'Input sheet 3'!L45</f>
        <v>0</v>
      </c>
    </row>
    <row r="104" spans="1:16" x14ac:dyDescent="0.55000000000000004">
      <c r="A104" t="str">
        <f>IF(L,"利用可能な H100 GPU 数 (共有)","Number of potentially usable H100 GPU (shared)")</f>
        <v>利用可能な H100 GPU 数 (共有)</v>
      </c>
      <c r="E104" s="33">
        <f>'Input sheet 3'!M46</f>
        <v>0</v>
      </c>
      <c r="F104" s="33">
        <f>'Input sheet 3'!N46</f>
        <v>0</v>
      </c>
      <c r="G104" s="33">
        <f>'Input sheet 3'!O46</f>
        <v>0</v>
      </c>
      <c r="H104" s="33">
        <f>'Input sheet 3'!D46</f>
        <v>0</v>
      </c>
      <c r="I104" s="33">
        <f>'Input sheet 3'!E46</f>
        <v>0</v>
      </c>
      <c r="J104" s="33">
        <f>'Input sheet 3'!F46</f>
        <v>0</v>
      </c>
      <c r="K104" s="33">
        <f>'Input sheet 3'!G46</f>
        <v>0</v>
      </c>
      <c r="L104" s="33">
        <f>'Input sheet 3'!H46</f>
        <v>0</v>
      </c>
      <c r="M104" s="33">
        <f>'Input sheet 3'!I46</f>
        <v>0</v>
      </c>
      <c r="N104" s="33">
        <f>'Input sheet 3'!J46</f>
        <v>0</v>
      </c>
      <c r="O104" s="33">
        <f>'Input sheet 3'!K46</f>
        <v>0</v>
      </c>
      <c r="P104" s="33">
        <f>'Input sheet 3'!L46</f>
        <v>0</v>
      </c>
    </row>
    <row r="105" spans="1:16" x14ac:dyDescent="0.55000000000000004">
      <c r="A105" t="str">
        <f>IF(L,"ホーム Disk","Home Disk")</f>
        <v>ホーム Disk</v>
      </c>
      <c r="B105" t="str">
        <f>IF(L,"容量 (TiB)","Space (TiB)")</f>
        <v>容量 (TiB)</v>
      </c>
      <c r="E105" s="33">
        <f>'Input sheet 3'!M47</f>
        <v>0</v>
      </c>
      <c r="F105" s="33">
        <f>'Input sheet 3'!N47</f>
        <v>0</v>
      </c>
      <c r="G105" s="33">
        <f>'Input sheet 3'!O47</f>
        <v>0</v>
      </c>
      <c r="H105" s="33">
        <f>'Input sheet 3'!D47</f>
        <v>0</v>
      </c>
      <c r="I105" s="33">
        <f>'Input sheet 3'!E47</f>
        <v>0</v>
      </c>
      <c r="J105" s="33">
        <f>'Input sheet 3'!F47</f>
        <v>0</v>
      </c>
      <c r="K105" s="33">
        <f>'Input sheet 3'!G47</f>
        <v>0</v>
      </c>
      <c r="L105" s="33">
        <f>'Input sheet 3'!H47</f>
        <v>0</v>
      </c>
      <c r="M105" s="33">
        <f>'Input sheet 3'!I47</f>
        <v>0</v>
      </c>
      <c r="N105" s="33">
        <f>'Input sheet 3'!J47</f>
        <v>0</v>
      </c>
      <c r="O105" s="33">
        <f>'Input sheet 3'!K47</f>
        <v>0</v>
      </c>
      <c r="P105" s="33">
        <f>'Input sheet 3'!L47</f>
        <v>0</v>
      </c>
    </row>
    <row r="106" spans="1:16" x14ac:dyDescent="0.55000000000000004">
      <c r="B106" t="str">
        <f>IF(L,"ファイル数 (百万)","Number of files (million)")</f>
        <v>ファイル数 (百万)</v>
      </c>
      <c r="E106" s="33">
        <f>'Input sheet 3'!M48</f>
        <v>0</v>
      </c>
      <c r="F106" s="33">
        <f>'Input sheet 3'!N48</f>
        <v>0</v>
      </c>
      <c r="G106" s="33">
        <f>'Input sheet 3'!O48</f>
        <v>0</v>
      </c>
      <c r="H106" s="33">
        <f>'Input sheet 3'!D48</f>
        <v>0</v>
      </c>
      <c r="I106" s="33">
        <f>'Input sheet 3'!E48</f>
        <v>0</v>
      </c>
      <c r="J106" s="33">
        <f>'Input sheet 3'!F48</f>
        <v>0</v>
      </c>
      <c r="K106" s="33">
        <f>'Input sheet 3'!G48</f>
        <v>0</v>
      </c>
      <c r="L106" s="33">
        <f>'Input sheet 3'!H48</f>
        <v>0</v>
      </c>
      <c r="M106" s="33">
        <f>'Input sheet 3'!I48</f>
        <v>0</v>
      </c>
      <c r="N106" s="33">
        <f>'Input sheet 3'!J48</f>
        <v>0</v>
      </c>
      <c r="O106" s="33">
        <f>'Input sheet 3'!K48</f>
        <v>0</v>
      </c>
      <c r="P106" s="33">
        <f>'Input sheet 3'!L48</f>
        <v>0</v>
      </c>
    </row>
    <row r="107" spans="1:16" x14ac:dyDescent="0.55000000000000004">
      <c r="A107" t="str">
        <f>IF(L,"アーカイブ Disk 容量 (TiB)","Archive Disk space (TiB)")</f>
        <v>アーカイブ Disk 容量 (TiB)</v>
      </c>
      <c r="E107" s="33">
        <f>'Input sheet 3'!M49</f>
        <v>0</v>
      </c>
      <c r="F107" s="33">
        <f>'Input sheet 3'!N49</f>
        <v>0</v>
      </c>
      <c r="G107" s="33">
        <f>'Input sheet 3'!O49</f>
        <v>0</v>
      </c>
      <c r="H107" s="33">
        <f>'Input sheet 3'!D49</f>
        <v>0</v>
      </c>
      <c r="I107" s="33">
        <f>'Input sheet 3'!E49</f>
        <v>0</v>
      </c>
      <c r="J107" s="33">
        <f>'Input sheet 3'!F49</f>
        <v>0</v>
      </c>
      <c r="K107" s="33">
        <f>'Input sheet 3'!G49</f>
        <v>0</v>
      </c>
      <c r="L107" s="33">
        <f>'Input sheet 3'!H49</f>
        <v>0</v>
      </c>
      <c r="M107" s="33">
        <f>'Input sheet 3'!I49</f>
        <v>0</v>
      </c>
      <c r="N107" s="33">
        <f>'Input sheet 3'!J49</f>
        <v>0</v>
      </c>
      <c r="O107" s="33">
        <f>'Input sheet 3'!K49</f>
        <v>0</v>
      </c>
      <c r="P107" s="33">
        <f>'Input sheet 3'!L49</f>
        <v>0</v>
      </c>
    </row>
    <row r="111" spans="1:16" x14ac:dyDescent="0.55000000000000004">
      <c r="A111">
        <v>2500</v>
      </c>
      <c r="B111" t="s">
        <v>88</v>
      </c>
    </row>
    <row r="112" spans="1:16" x14ac:dyDescent="0.55000000000000004">
      <c r="A112">
        <f>A111*E$18</f>
        <v>5000</v>
      </c>
    </row>
    <row r="114" spans="1:16" x14ac:dyDescent="0.55000000000000004">
      <c r="A114">
        <f>'Input sheet 4'!D20+'Input sheet 4'!D25+'Input sheet 4'!D30+'Input sheet 4'!D35+'Input sheet 4'!D40+'Input sheet 4'!D45+'Input sheet 4'!D50+'Input sheet 4'!D55+'Input sheet 4'!D60</f>
        <v>0</v>
      </c>
    </row>
    <row r="116" spans="1:16" x14ac:dyDescent="0.55000000000000004">
      <c r="A116" s="9"/>
      <c r="B116" s="32"/>
      <c r="C116" s="32"/>
      <c r="D116" s="32"/>
      <c r="E116" s="32" t="e">
        <f>INDEX($E59:$P59,1,E67)</f>
        <v>#N/A</v>
      </c>
      <c r="F116" s="32" t="e">
        <f t="shared" ref="F116:P116" si="29">INDEX($E59:$P59,1,F67)</f>
        <v>#N/A</v>
      </c>
      <c r="G116" s="32" t="e">
        <f t="shared" si="29"/>
        <v>#N/A</v>
      </c>
      <c r="H116" s="32" t="e">
        <f t="shared" si="29"/>
        <v>#N/A</v>
      </c>
      <c r="I116" s="32" t="e">
        <f t="shared" si="29"/>
        <v>#N/A</v>
      </c>
      <c r="J116" s="32" t="e">
        <f t="shared" si="29"/>
        <v>#N/A</v>
      </c>
      <c r="K116" s="32" t="e">
        <f t="shared" si="29"/>
        <v>#N/A</v>
      </c>
      <c r="L116" s="32" t="e">
        <f t="shared" si="29"/>
        <v>#N/A</v>
      </c>
      <c r="M116" s="32" t="e">
        <f t="shared" si="29"/>
        <v>#N/A</v>
      </c>
      <c r="N116" s="32" t="e">
        <f t="shared" si="29"/>
        <v>#N/A</v>
      </c>
      <c r="O116" s="32" t="e">
        <f t="shared" si="29"/>
        <v>#N/A</v>
      </c>
      <c r="P116" s="32" t="e">
        <f t="shared" si="29"/>
        <v>#N/A</v>
      </c>
    </row>
    <row r="117" spans="1:16" x14ac:dyDescent="0.55000000000000004">
      <c r="A117" t="str">
        <f t="shared" ref="A117:A126" si="30">A81</f>
        <v>コース</v>
      </c>
      <c r="E117" s="32" t="e">
        <f t="shared" ref="E117:E126" si="31">INDEX($E70:$P70,1,E$67)</f>
        <v>#N/A</v>
      </c>
      <c r="F117" s="32" t="e">
        <f t="shared" ref="F117:P117" si="32">INDEX($E70:$P70,1,F$67)</f>
        <v>#N/A</v>
      </c>
      <c r="G117" s="32" t="e">
        <f t="shared" si="32"/>
        <v>#N/A</v>
      </c>
      <c r="H117" s="32" t="e">
        <f t="shared" si="32"/>
        <v>#N/A</v>
      </c>
      <c r="I117" s="32" t="e">
        <f t="shared" si="32"/>
        <v>#N/A</v>
      </c>
      <c r="J117" s="32" t="e">
        <f t="shared" si="32"/>
        <v>#N/A</v>
      </c>
      <c r="K117" s="32" t="e">
        <f t="shared" si="32"/>
        <v>#N/A</v>
      </c>
      <c r="L117" s="32" t="e">
        <f t="shared" si="32"/>
        <v>#N/A</v>
      </c>
      <c r="M117" s="32" t="e">
        <f t="shared" si="32"/>
        <v>#N/A</v>
      </c>
      <c r="N117" s="32" t="e">
        <f t="shared" si="32"/>
        <v>#N/A</v>
      </c>
      <c r="O117" s="32" t="e">
        <f t="shared" si="32"/>
        <v>#N/A</v>
      </c>
      <c r="P117" s="32" t="e">
        <f t="shared" si="32"/>
        <v>#N/A</v>
      </c>
    </row>
    <row r="118" spans="1:16" x14ac:dyDescent="0.55000000000000004">
      <c r="A118" t="str">
        <f t="shared" si="30"/>
        <v>専有追加 (192 CPU コア単位)</v>
      </c>
      <c r="E118" s="32" t="e">
        <f t="shared" si="31"/>
        <v>#N/A</v>
      </c>
      <c r="F118" s="32" t="e">
        <f t="shared" ref="F118:P118" si="33">INDEX($E71:$P71,1,F$67)</f>
        <v>#N/A</v>
      </c>
      <c r="G118" s="32" t="e">
        <f t="shared" si="33"/>
        <v>#N/A</v>
      </c>
      <c r="H118" s="32" t="e">
        <f t="shared" si="33"/>
        <v>#N/A</v>
      </c>
      <c r="I118" s="32" t="e">
        <f t="shared" si="33"/>
        <v>#N/A</v>
      </c>
      <c r="J118" s="32" t="e">
        <f t="shared" si="33"/>
        <v>#N/A</v>
      </c>
      <c r="K118" s="32" t="e">
        <f t="shared" si="33"/>
        <v>#N/A</v>
      </c>
      <c r="L118" s="32" t="e">
        <f t="shared" si="33"/>
        <v>#N/A</v>
      </c>
      <c r="M118" s="32" t="e">
        <f t="shared" si="33"/>
        <v>#N/A</v>
      </c>
      <c r="N118" s="32" t="e">
        <f t="shared" si="33"/>
        <v>#N/A</v>
      </c>
      <c r="O118" s="32" t="e">
        <f t="shared" si="33"/>
        <v>#N/A</v>
      </c>
      <c r="P118" s="32" t="e">
        <f t="shared" si="33"/>
        <v>#N/A</v>
      </c>
    </row>
    <row r="119" spans="1:16" x14ac:dyDescent="0.55000000000000004">
      <c r="A119" t="str">
        <f t="shared" si="30"/>
        <v>共有追加 (310 CPU コア単位)</v>
      </c>
      <c r="E119" s="32" t="e">
        <f t="shared" si="31"/>
        <v>#N/A</v>
      </c>
      <c r="F119" s="32" t="e">
        <f t="shared" ref="F119:P119" si="34">INDEX($E72:$P72,1,F$67)</f>
        <v>#N/A</v>
      </c>
      <c r="G119" s="32" t="e">
        <f t="shared" si="34"/>
        <v>#N/A</v>
      </c>
      <c r="H119" s="32" t="e">
        <f t="shared" si="34"/>
        <v>#N/A</v>
      </c>
      <c r="I119" s="32" t="e">
        <f t="shared" si="34"/>
        <v>#N/A</v>
      </c>
      <c r="J119" s="32" t="e">
        <f t="shared" si="34"/>
        <v>#N/A</v>
      </c>
      <c r="K119" s="32" t="e">
        <f t="shared" si="34"/>
        <v>#N/A</v>
      </c>
      <c r="L119" s="32" t="e">
        <f t="shared" si="34"/>
        <v>#N/A</v>
      </c>
      <c r="M119" s="32" t="e">
        <f t="shared" si="34"/>
        <v>#N/A</v>
      </c>
      <c r="N119" s="32" t="e">
        <f t="shared" si="34"/>
        <v>#N/A</v>
      </c>
      <c r="O119" s="32" t="e">
        <f t="shared" si="34"/>
        <v>#N/A</v>
      </c>
      <c r="P119" s="32" t="e">
        <f t="shared" si="34"/>
        <v>#N/A</v>
      </c>
    </row>
    <row r="120" spans="1:16" x14ac:dyDescent="0.55000000000000004">
      <c r="A120" t="str">
        <f t="shared" si="30"/>
        <v>計算ノード Fat 追加 (8 CPU コア単位)</v>
      </c>
      <c r="E120" s="32" t="e">
        <f t="shared" si="31"/>
        <v>#N/A</v>
      </c>
      <c r="F120" s="32" t="e">
        <f t="shared" ref="F120:P120" si="35">INDEX($E73:$P73,1,F$67)</f>
        <v>#N/A</v>
      </c>
      <c r="G120" s="32" t="e">
        <f t="shared" si="35"/>
        <v>#N/A</v>
      </c>
      <c r="H120" s="32" t="e">
        <f t="shared" si="35"/>
        <v>#N/A</v>
      </c>
      <c r="I120" s="32" t="e">
        <f t="shared" si="35"/>
        <v>#N/A</v>
      </c>
      <c r="J120" s="32" t="e">
        <f t="shared" si="35"/>
        <v>#N/A</v>
      </c>
      <c r="K120" s="32" t="e">
        <f t="shared" si="35"/>
        <v>#N/A</v>
      </c>
      <c r="L120" s="32" t="e">
        <f t="shared" si="35"/>
        <v>#N/A</v>
      </c>
      <c r="M120" s="32" t="e">
        <f t="shared" si="35"/>
        <v>#N/A</v>
      </c>
      <c r="N120" s="32" t="e">
        <f t="shared" si="35"/>
        <v>#N/A</v>
      </c>
      <c r="O120" s="32" t="e">
        <f t="shared" si="35"/>
        <v>#N/A</v>
      </c>
      <c r="P120" s="32" t="e">
        <f t="shared" si="35"/>
        <v>#N/A</v>
      </c>
    </row>
    <row r="121" spans="1:16" x14ac:dyDescent="0.55000000000000004">
      <c r="A121" t="str">
        <f t="shared" si="30"/>
        <v>アクセラレータ V100 追加 (1 GPU 単位)</v>
      </c>
      <c r="E121" s="32" t="e">
        <f t="shared" si="31"/>
        <v>#N/A</v>
      </c>
      <c r="F121" s="32" t="e">
        <f t="shared" ref="F121:P121" si="36">INDEX($E74:$P74,1,F$67)</f>
        <v>#N/A</v>
      </c>
      <c r="G121" s="32" t="e">
        <f t="shared" si="36"/>
        <v>#N/A</v>
      </c>
      <c r="H121" s="32" t="e">
        <f t="shared" si="36"/>
        <v>#N/A</v>
      </c>
      <c r="I121" s="32" t="e">
        <f t="shared" si="36"/>
        <v>#N/A</v>
      </c>
      <c r="J121" s="32" t="e">
        <f t="shared" si="36"/>
        <v>#N/A</v>
      </c>
      <c r="K121" s="32" t="e">
        <f t="shared" si="36"/>
        <v>#N/A</v>
      </c>
      <c r="L121" s="32" t="e">
        <f t="shared" si="36"/>
        <v>#N/A</v>
      </c>
      <c r="M121" s="32" t="e">
        <f t="shared" si="36"/>
        <v>#N/A</v>
      </c>
      <c r="N121" s="32" t="e">
        <f t="shared" si="36"/>
        <v>#N/A</v>
      </c>
      <c r="O121" s="32" t="e">
        <f t="shared" si="36"/>
        <v>#N/A</v>
      </c>
      <c r="P121" s="32" t="e">
        <f t="shared" si="36"/>
        <v>#N/A</v>
      </c>
    </row>
    <row r="122" spans="1:16" x14ac:dyDescent="0.55000000000000004">
      <c r="A122" t="str">
        <f t="shared" si="30"/>
        <v>アクセラレータ A100 追加 (1 GPU 単位)</v>
      </c>
      <c r="E122" s="32" t="e">
        <f>INDEX($E75:$P75,1,E$67)</f>
        <v>#N/A</v>
      </c>
      <c r="F122" s="32" t="e">
        <f t="shared" ref="F122:P122" si="37">INDEX($E75:$P75,1,F$67)</f>
        <v>#N/A</v>
      </c>
      <c r="G122" s="32" t="e">
        <f t="shared" si="37"/>
        <v>#N/A</v>
      </c>
      <c r="H122" s="32" t="e">
        <f t="shared" si="37"/>
        <v>#N/A</v>
      </c>
      <c r="I122" s="32" t="e">
        <f t="shared" si="37"/>
        <v>#N/A</v>
      </c>
      <c r="J122" s="32" t="e">
        <f t="shared" si="37"/>
        <v>#N/A</v>
      </c>
      <c r="K122" s="32" t="e">
        <f t="shared" si="37"/>
        <v>#N/A</v>
      </c>
      <c r="L122" s="32" t="e">
        <f t="shared" si="37"/>
        <v>#N/A</v>
      </c>
      <c r="M122" s="32" t="e">
        <f t="shared" si="37"/>
        <v>#N/A</v>
      </c>
      <c r="N122" s="32" t="e">
        <f t="shared" si="37"/>
        <v>#N/A</v>
      </c>
      <c r="O122" s="32" t="e">
        <f t="shared" si="37"/>
        <v>#N/A</v>
      </c>
      <c r="P122" s="32" t="e">
        <f t="shared" si="37"/>
        <v>#N/A</v>
      </c>
    </row>
    <row r="123" spans="1:16" x14ac:dyDescent="0.55000000000000004">
      <c r="A123" t="str">
        <f t="shared" si="30"/>
        <v>アクセラレータ H100 追加 (1 GPU 単位)</v>
      </c>
      <c r="E123" s="32" t="e">
        <f t="shared" si="31"/>
        <v>#N/A</v>
      </c>
      <c r="F123" s="32" t="e">
        <f t="shared" ref="F123:P123" si="38">INDEX($E76:$P76,1,F$67)</f>
        <v>#N/A</v>
      </c>
      <c r="G123" s="32" t="e">
        <f t="shared" si="38"/>
        <v>#N/A</v>
      </c>
      <c r="H123" s="32" t="e">
        <f t="shared" si="38"/>
        <v>#N/A</v>
      </c>
      <c r="I123" s="32" t="e">
        <f t="shared" si="38"/>
        <v>#N/A</v>
      </c>
      <c r="J123" s="32" t="e">
        <f t="shared" si="38"/>
        <v>#N/A</v>
      </c>
      <c r="K123" s="32" t="e">
        <f t="shared" si="38"/>
        <v>#N/A</v>
      </c>
      <c r="L123" s="32" t="e">
        <f t="shared" si="38"/>
        <v>#N/A</v>
      </c>
      <c r="M123" s="32" t="e">
        <f t="shared" si="38"/>
        <v>#N/A</v>
      </c>
      <c r="N123" s="32" t="e">
        <f t="shared" si="38"/>
        <v>#N/A</v>
      </c>
      <c r="O123" s="32" t="e">
        <f t="shared" si="38"/>
        <v>#N/A</v>
      </c>
      <c r="P123" s="32" t="e">
        <f t="shared" si="38"/>
        <v>#N/A</v>
      </c>
    </row>
    <row r="124" spans="1:16" x14ac:dyDescent="0.55000000000000004">
      <c r="A124" t="str">
        <f t="shared" si="30"/>
        <v>ホーム Disk 容量追加 (1 TiB 単位)</v>
      </c>
      <c r="E124" s="32" t="e">
        <f t="shared" si="31"/>
        <v>#N/A</v>
      </c>
      <c r="F124" s="32" t="e">
        <f t="shared" ref="F124:P124" si="39">INDEX($E77:$P77,1,F$67)</f>
        <v>#N/A</v>
      </c>
      <c r="G124" s="32" t="e">
        <f t="shared" si="39"/>
        <v>#N/A</v>
      </c>
      <c r="H124" s="32" t="e">
        <f t="shared" si="39"/>
        <v>#N/A</v>
      </c>
      <c r="I124" s="32" t="e">
        <f t="shared" si="39"/>
        <v>#N/A</v>
      </c>
      <c r="J124" s="32" t="e">
        <f t="shared" si="39"/>
        <v>#N/A</v>
      </c>
      <c r="K124" s="32" t="e">
        <f t="shared" si="39"/>
        <v>#N/A</v>
      </c>
      <c r="L124" s="32" t="e">
        <f t="shared" si="39"/>
        <v>#N/A</v>
      </c>
      <c r="M124" s="32" t="e">
        <f t="shared" si="39"/>
        <v>#N/A</v>
      </c>
      <c r="N124" s="32" t="e">
        <f t="shared" si="39"/>
        <v>#N/A</v>
      </c>
      <c r="O124" s="32" t="e">
        <f t="shared" si="39"/>
        <v>#N/A</v>
      </c>
      <c r="P124" s="32" t="e">
        <f t="shared" si="39"/>
        <v>#N/A</v>
      </c>
    </row>
    <row r="125" spans="1:16" x14ac:dyDescent="0.55000000000000004">
      <c r="A125" t="str">
        <f t="shared" si="30"/>
        <v>アーカイブ Disk 追加 (1 TiB 単位)</v>
      </c>
      <c r="E125" s="32" t="e">
        <f t="shared" si="31"/>
        <v>#N/A</v>
      </c>
      <c r="F125" s="32" t="e">
        <f t="shared" ref="F125:P125" si="40">INDEX($E78:$P78,1,F$67)</f>
        <v>#N/A</v>
      </c>
      <c r="G125" s="32" t="e">
        <f t="shared" si="40"/>
        <v>#N/A</v>
      </c>
      <c r="H125" s="32" t="e">
        <f t="shared" si="40"/>
        <v>#N/A</v>
      </c>
      <c r="I125" s="32" t="e">
        <f t="shared" si="40"/>
        <v>#N/A</v>
      </c>
      <c r="J125" s="32" t="e">
        <f t="shared" si="40"/>
        <v>#N/A</v>
      </c>
      <c r="K125" s="32" t="e">
        <f t="shared" si="40"/>
        <v>#N/A</v>
      </c>
      <c r="L125" s="32" t="e">
        <f t="shared" si="40"/>
        <v>#N/A</v>
      </c>
      <c r="M125" s="32" t="e">
        <f t="shared" si="40"/>
        <v>#N/A</v>
      </c>
      <c r="N125" s="32" t="e">
        <f t="shared" si="40"/>
        <v>#N/A</v>
      </c>
      <c r="O125" s="32" t="e">
        <f t="shared" si="40"/>
        <v>#N/A</v>
      </c>
      <c r="P125" s="32" t="e">
        <f t="shared" si="40"/>
        <v>#N/A</v>
      </c>
    </row>
    <row r="126" spans="1:16" x14ac:dyDescent="0.55000000000000004">
      <c r="A126" t="str">
        <f t="shared" si="30"/>
        <v>サポートポイント【SP】</v>
      </c>
      <c r="E126" s="32" t="e">
        <f t="shared" si="31"/>
        <v>#N/A</v>
      </c>
      <c r="F126" s="32" t="e">
        <f t="shared" ref="F126:P126" si="41">INDEX($E79:$P79,1,F$67)</f>
        <v>#N/A</v>
      </c>
      <c r="G126" s="32" t="e">
        <f t="shared" si="41"/>
        <v>#N/A</v>
      </c>
      <c r="H126" s="32" t="e">
        <f t="shared" si="41"/>
        <v>#N/A</v>
      </c>
      <c r="I126" s="32" t="e">
        <f t="shared" si="41"/>
        <v>#N/A</v>
      </c>
      <c r="J126" s="32" t="e">
        <f t="shared" si="41"/>
        <v>#N/A</v>
      </c>
      <c r="K126" s="32" t="e">
        <f t="shared" si="41"/>
        <v>#N/A</v>
      </c>
      <c r="L126" s="32" t="e">
        <f t="shared" si="41"/>
        <v>#N/A</v>
      </c>
      <c r="M126" s="32" t="e">
        <f t="shared" si="41"/>
        <v>#N/A</v>
      </c>
      <c r="N126" s="32" t="e">
        <f t="shared" si="41"/>
        <v>#N/A</v>
      </c>
      <c r="O126" s="32" t="e">
        <f t="shared" si="41"/>
        <v>#N/A</v>
      </c>
      <c r="P126" s="32" t="e">
        <f t="shared" si="41"/>
        <v>#N/A</v>
      </c>
    </row>
    <row r="127" spans="1:16" x14ac:dyDescent="0.55000000000000004">
      <c r="E127" s="32"/>
      <c r="F127" s="32"/>
      <c r="G127" s="32"/>
      <c r="H127" s="32"/>
      <c r="I127" s="32"/>
      <c r="J127" s="32"/>
      <c r="K127" s="32"/>
      <c r="L127" s="32"/>
      <c r="M127" s="32"/>
      <c r="N127" s="32"/>
      <c r="O127" s="32"/>
      <c r="P127" s="32"/>
    </row>
    <row r="128" spans="1:16" x14ac:dyDescent="0.55000000000000004">
      <c r="A128" t="str">
        <f t="shared" ref="A128:A137" si="42">A117</f>
        <v>コース</v>
      </c>
      <c r="E128" s="32" t="e">
        <f>INDEX($E81:$P81,1,E$67)</f>
        <v>#N/A</v>
      </c>
      <c r="F128" s="32" t="e">
        <f t="shared" ref="F128:P128" si="43">INDEX($E81:$P81,1,F$67)</f>
        <v>#N/A</v>
      </c>
      <c r="G128" s="32" t="e">
        <f t="shared" si="43"/>
        <v>#N/A</v>
      </c>
      <c r="H128" s="32" t="e">
        <f t="shared" si="43"/>
        <v>#N/A</v>
      </c>
      <c r="I128" s="32" t="e">
        <f t="shared" si="43"/>
        <v>#N/A</v>
      </c>
      <c r="J128" s="32" t="e">
        <f t="shared" si="43"/>
        <v>#N/A</v>
      </c>
      <c r="K128" s="32" t="e">
        <f t="shared" si="43"/>
        <v>#N/A</v>
      </c>
      <c r="L128" s="32" t="e">
        <f t="shared" si="43"/>
        <v>#N/A</v>
      </c>
      <c r="M128" s="32" t="e">
        <f t="shared" si="43"/>
        <v>#N/A</v>
      </c>
      <c r="N128" s="32" t="e">
        <f t="shared" si="43"/>
        <v>#N/A</v>
      </c>
      <c r="O128" s="32" t="e">
        <f t="shared" si="43"/>
        <v>#N/A</v>
      </c>
      <c r="P128" s="32" t="e">
        <f t="shared" si="43"/>
        <v>#N/A</v>
      </c>
    </row>
    <row r="129" spans="1:16" x14ac:dyDescent="0.55000000000000004">
      <c r="A129" t="str">
        <f t="shared" si="42"/>
        <v>専有追加 (192 CPU コア単位)</v>
      </c>
      <c r="E129" s="32" t="e">
        <f t="shared" ref="E129:P129" si="44">INDEX($E82:$P82,1,E$67)</f>
        <v>#N/A</v>
      </c>
      <c r="F129" s="32" t="e">
        <f t="shared" si="44"/>
        <v>#N/A</v>
      </c>
      <c r="G129" s="32" t="e">
        <f t="shared" si="44"/>
        <v>#N/A</v>
      </c>
      <c r="H129" s="32" t="e">
        <f t="shared" si="44"/>
        <v>#N/A</v>
      </c>
      <c r="I129" s="32" t="e">
        <f t="shared" si="44"/>
        <v>#N/A</v>
      </c>
      <c r="J129" s="32" t="e">
        <f t="shared" si="44"/>
        <v>#N/A</v>
      </c>
      <c r="K129" s="32" t="e">
        <f t="shared" si="44"/>
        <v>#N/A</v>
      </c>
      <c r="L129" s="32" t="e">
        <f t="shared" si="44"/>
        <v>#N/A</v>
      </c>
      <c r="M129" s="32" t="e">
        <f t="shared" si="44"/>
        <v>#N/A</v>
      </c>
      <c r="N129" s="32" t="e">
        <f t="shared" si="44"/>
        <v>#N/A</v>
      </c>
      <c r="O129" s="32" t="e">
        <f t="shared" si="44"/>
        <v>#N/A</v>
      </c>
      <c r="P129" s="32" t="e">
        <f t="shared" si="44"/>
        <v>#N/A</v>
      </c>
    </row>
    <row r="130" spans="1:16" x14ac:dyDescent="0.55000000000000004">
      <c r="A130" t="str">
        <f t="shared" si="42"/>
        <v>共有追加 (310 CPU コア単位)</v>
      </c>
      <c r="E130" s="32" t="e">
        <f t="shared" ref="E130:P130" si="45">INDEX($E83:$P83,1,E$67)</f>
        <v>#N/A</v>
      </c>
      <c r="F130" s="32" t="e">
        <f t="shared" si="45"/>
        <v>#N/A</v>
      </c>
      <c r="G130" s="32" t="e">
        <f t="shared" si="45"/>
        <v>#N/A</v>
      </c>
      <c r="H130" s="32" t="e">
        <f t="shared" si="45"/>
        <v>#N/A</v>
      </c>
      <c r="I130" s="32" t="e">
        <f t="shared" si="45"/>
        <v>#N/A</v>
      </c>
      <c r="J130" s="32" t="e">
        <f t="shared" si="45"/>
        <v>#N/A</v>
      </c>
      <c r="K130" s="32" t="e">
        <f t="shared" si="45"/>
        <v>#N/A</v>
      </c>
      <c r="L130" s="32" t="e">
        <f t="shared" si="45"/>
        <v>#N/A</v>
      </c>
      <c r="M130" s="32" t="e">
        <f t="shared" si="45"/>
        <v>#N/A</v>
      </c>
      <c r="N130" s="32" t="e">
        <f t="shared" si="45"/>
        <v>#N/A</v>
      </c>
      <c r="O130" s="32" t="e">
        <f t="shared" si="45"/>
        <v>#N/A</v>
      </c>
      <c r="P130" s="32" t="e">
        <f t="shared" si="45"/>
        <v>#N/A</v>
      </c>
    </row>
    <row r="131" spans="1:16" x14ac:dyDescent="0.55000000000000004">
      <c r="A131" t="str">
        <f t="shared" si="42"/>
        <v>計算ノード Fat 追加 (8 CPU コア単位)</v>
      </c>
      <c r="E131" s="32" t="e">
        <f t="shared" ref="E131:P131" si="46">INDEX($E84:$P84,1,E$67)</f>
        <v>#N/A</v>
      </c>
      <c r="F131" s="32" t="e">
        <f t="shared" si="46"/>
        <v>#N/A</v>
      </c>
      <c r="G131" s="32" t="e">
        <f t="shared" si="46"/>
        <v>#N/A</v>
      </c>
      <c r="H131" s="32" t="e">
        <f t="shared" si="46"/>
        <v>#N/A</v>
      </c>
      <c r="I131" s="32" t="e">
        <f t="shared" si="46"/>
        <v>#N/A</v>
      </c>
      <c r="J131" s="32" t="e">
        <f t="shared" si="46"/>
        <v>#N/A</v>
      </c>
      <c r="K131" s="32" t="e">
        <f t="shared" si="46"/>
        <v>#N/A</v>
      </c>
      <c r="L131" s="32" t="e">
        <f t="shared" si="46"/>
        <v>#N/A</v>
      </c>
      <c r="M131" s="32" t="e">
        <f t="shared" si="46"/>
        <v>#N/A</v>
      </c>
      <c r="N131" s="32" t="e">
        <f t="shared" si="46"/>
        <v>#N/A</v>
      </c>
      <c r="O131" s="32" t="e">
        <f t="shared" si="46"/>
        <v>#N/A</v>
      </c>
      <c r="P131" s="32" t="e">
        <f t="shared" si="46"/>
        <v>#N/A</v>
      </c>
    </row>
    <row r="132" spans="1:16" x14ac:dyDescent="0.55000000000000004">
      <c r="A132" t="str">
        <f t="shared" si="42"/>
        <v>アクセラレータ V100 追加 (1 GPU 単位)</v>
      </c>
      <c r="E132" s="32" t="e">
        <f t="shared" ref="E132:P132" si="47">INDEX($E85:$P85,1,E$67)</f>
        <v>#N/A</v>
      </c>
      <c r="F132" s="32" t="e">
        <f t="shared" si="47"/>
        <v>#N/A</v>
      </c>
      <c r="G132" s="32" t="e">
        <f t="shared" si="47"/>
        <v>#N/A</v>
      </c>
      <c r="H132" s="32" t="e">
        <f t="shared" si="47"/>
        <v>#N/A</v>
      </c>
      <c r="I132" s="32" t="e">
        <f t="shared" si="47"/>
        <v>#N/A</v>
      </c>
      <c r="J132" s="32" t="e">
        <f t="shared" si="47"/>
        <v>#N/A</v>
      </c>
      <c r="K132" s="32" t="e">
        <f t="shared" si="47"/>
        <v>#N/A</v>
      </c>
      <c r="L132" s="32" t="e">
        <f t="shared" si="47"/>
        <v>#N/A</v>
      </c>
      <c r="M132" s="32" t="e">
        <f t="shared" si="47"/>
        <v>#N/A</v>
      </c>
      <c r="N132" s="32" t="e">
        <f t="shared" si="47"/>
        <v>#N/A</v>
      </c>
      <c r="O132" s="32" t="e">
        <f t="shared" si="47"/>
        <v>#N/A</v>
      </c>
      <c r="P132" s="32" t="e">
        <f t="shared" si="47"/>
        <v>#N/A</v>
      </c>
    </row>
    <row r="133" spans="1:16" x14ac:dyDescent="0.55000000000000004">
      <c r="A133" t="str">
        <f t="shared" si="42"/>
        <v>アクセラレータ A100 追加 (1 GPU 単位)</v>
      </c>
      <c r="E133" s="32" t="e">
        <f t="shared" ref="E133:P133" si="48">INDEX($E86:$P86,1,E$67)</f>
        <v>#N/A</v>
      </c>
      <c r="F133" s="32" t="e">
        <f t="shared" si="48"/>
        <v>#N/A</v>
      </c>
      <c r="G133" s="32" t="e">
        <f t="shared" si="48"/>
        <v>#N/A</v>
      </c>
      <c r="H133" s="32" t="e">
        <f t="shared" si="48"/>
        <v>#N/A</v>
      </c>
      <c r="I133" s="32" t="e">
        <f t="shared" si="48"/>
        <v>#N/A</v>
      </c>
      <c r="J133" s="32" t="e">
        <f t="shared" si="48"/>
        <v>#N/A</v>
      </c>
      <c r="K133" s="32" t="e">
        <f t="shared" si="48"/>
        <v>#N/A</v>
      </c>
      <c r="L133" s="32" t="e">
        <f t="shared" si="48"/>
        <v>#N/A</v>
      </c>
      <c r="M133" s="32" t="e">
        <f t="shared" si="48"/>
        <v>#N/A</v>
      </c>
      <c r="N133" s="32" t="e">
        <f t="shared" si="48"/>
        <v>#N/A</v>
      </c>
      <c r="O133" s="32" t="e">
        <f t="shared" si="48"/>
        <v>#N/A</v>
      </c>
      <c r="P133" s="32" t="e">
        <f t="shared" si="48"/>
        <v>#N/A</v>
      </c>
    </row>
    <row r="134" spans="1:16" x14ac:dyDescent="0.55000000000000004">
      <c r="A134" t="str">
        <f t="shared" si="42"/>
        <v>アクセラレータ H100 追加 (1 GPU 単位)</v>
      </c>
      <c r="E134" s="32" t="e">
        <f>INDEX($E87:$P87,1,E$67)</f>
        <v>#N/A</v>
      </c>
      <c r="F134" s="32" t="e">
        <f t="shared" ref="F134:P134" si="49">INDEX($E87:$P87,1,F$67)</f>
        <v>#N/A</v>
      </c>
      <c r="G134" s="32" t="e">
        <f t="shared" si="49"/>
        <v>#N/A</v>
      </c>
      <c r="H134" s="32" t="e">
        <f t="shared" si="49"/>
        <v>#N/A</v>
      </c>
      <c r="I134" s="32" t="e">
        <f t="shared" si="49"/>
        <v>#N/A</v>
      </c>
      <c r="J134" s="32" t="e">
        <f t="shared" si="49"/>
        <v>#N/A</v>
      </c>
      <c r="K134" s="32" t="e">
        <f t="shared" si="49"/>
        <v>#N/A</v>
      </c>
      <c r="L134" s="32" t="e">
        <f t="shared" si="49"/>
        <v>#N/A</v>
      </c>
      <c r="M134" s="32" t="e">
        <f t="shared" si="49"/>
        <v>#N/A</v>
      </c>
      <c r="N134" s="32" t="e">
        <f t="shared" si="49"/>
        <v>#N/A</v>
      </c>
      <c r="O134" s="32" t="e">
        <f t="shared" si="49"/>
        <v>#N/A</v>
      </c>
      <c r="P134" s="32" t="e">
        <f t="shared" si="49"/>
        <v>#N/A</v>
      </c>
    </row>
    <row r="135" spans="1:16" x14ac:dyDescent="0.55000000000000004">
      <c r="A135" t="str">
        <f t="shared" si="42"/>
        <v>ホーム Disk 容量追加 (1 TiB 単位)</v>
      </c>
      <c r="E135" s="32" t="e">
        <f t="shared" ref="E135:P135" si="50">INDEX($E88:$P88,1,E$67)</f>
        <v>#N/A</v>
      </c>
      <c r="F135" s="32" t="e">
        <f t="shared" si="50"/>
        <v>#N/A</v>
      </c>
      <c r="G135" s="32" t="e">
        <f t="shared" si="50"/>
        <v>#N/A</v>
      </c>
      <c r="H135" s="32" t="e">
        <f t="shared" si="50"/>
        <v>#N/A</v>
      </c>
      <c r="I135" s="32" t="e">
        <f t="shared" si="50"/>
        <v>#N/A</v>
      </c>
      <c r="J135" s="32" t="e">
        <f t="shared" si="50"/>
        <v>#N/A</v>
      </c>
      <c r="K135" s="32" t="e">
        <f t="shared" si="50"/>
        <v>#N/A</v>
      </c>
      <c r="L135" s="32" t="e">
        <f t="shared" si="50"/>
        <v>#N/A</v>
      </c>
      <c r="M135" s="32" t="e">
        <f t="shared" si="50"/>
        <v>#N/A</v>
      </c>
      <c r="N135" s="32" t="e">
        <f t="shared" si="50"/>
        <v>#N/A</v>
      </c>
      <c r="O135" s="32" t="e">
        <f t="shared" si="50"/>
        <v>#N/A</v>
      </c>
      <c r="P135" s="32" t="e">
        <f t="shared" si="50"/>
        <v>#N/A</v>
      </c>
    </row>
    <row r="136" spans="1:16" x14ac:dyDescent="0.55000000000000004">
      <c r="A136" t="str">
        <f t="shared" si="42"/>
        <v>アーカイブ Disk 追加 (1 TiB 単位)</v>
      </c>
      <c r="E136" s="32" t="e">
        <f t="shared" ref="E136:P136" si="51">INDEX($E89:$P89,1,E$67)</f>
        <v>#N/A</v>
      </c>
      <c r="F136" s="32" t="e">
        <f t="shared" si="51"/>
        <v>#N/A</v>
      </c>
      <c r="G136" s="32" t="e">
        <f t="shared" si="51"/>
        <v>#N/A</v>
      </c>
      <c r="H136" s="32" t="e">
        <f t="shared" si="51"/>
        <v>#N/A</v>
      </c>
      <c r="I136" s="32" t="e">
        <f t="shared" si="51"/>
        <v>#N/A</v>
      </c>
      <c r="J136" s="32" t="e">
        <f t="shared" si="51"/>
        <v>#N/A</v>
      </c>
      <c r="K136" s="32" t="e">
        <f t="shared" si="51"/>
        <v>#N/A</v>
      </c>
      <c r="L136" s="32" t="e">
        <f t="shared" si="51"/>
        <v>#N/A</v>
      </c>
      <c r="M136" s="32" t="e">
        <f t="shared" si="51"/>
        <v>#N/A</v>
      </c>
      <c r="N136" s="32" t="e">
        <f t="shared" si="51"/>
        <v>#N/A</v>
      </c>
      <c r="O136" s="32" t="e">
        <f t="shared" si="51"/>
        <v>#N/A</v>
      </c>
      <c r="P136" s="32" t="e">
        <f t="shared" si="51"/>
        <v>#N/A</v>
      </c>
    </row>
    <row r="137" spans="1:16" x14ac:dyDescent="0.55000000000000004">
      <c r="A137" t="str">
        <f t="shared" si="42"/>
        <v>サポートポイント【SP】</v>
      </c>
      <c r="E137" s="32" t="e">
        <f>INDEX($E90:$P90,1,E$67)</f>
        <v>#N/A</v>
      </c>
      <c r="F137" s="32" t="e">
        <f t="shared" ref="F137:P137" si="52">INDEX($E90:$P90,1,F$67)</f>
        <v>#N/A</v>
      </c>
      <c r="G137" s="32" t="e">
        <f t="shared" si="52"/>
        <v>#N/A</v>
      </c>
      <c r="H137" s="32" t="e">
        <f t="shared" si="52"/>
        <v>#N/A</v>
      </c>
      <c r="I137" s="32" t="e">
        <f t="shared" si="52"/>
        <v>#N/A</v>
      </c>
      <c r="J137" s="32" t="e">
        <f t="shared" si="52"/>
        <v>#N/A</v>
      </c>
      <c r="K137" s="32" t="e">
        <f t="shared" si="52"/>
        <v>#N/A</v>
      </c>
      <c r="L137" s="32" t="e">
        <f t="shared" si="52"/>
        <v>#N/A</v>
      </c>
      <c r="M137" s="32" t="e">
        <f t="shared" si="52"/>
        <v>#N/A</v>
      </c>
      <c r="N137" s="32" t="e">
        <f t="shared" si="52"/>
        <v>#N/A</v>
      </c>
      <c r="O137" s="32" t="e">
        <f t="shared" si="52"/>
        <v>#N/A</v>
      </c>
      <c r="P137" s="32" t="e">
        <f t="shared" si="52"/>
        <v>#N/A</v>
      </c>
    </row>
    <row r="139" spans="1:16" x14ac:dyDescent="0.55000000000000004">
      <c r="A139" t="str">
        <f>A92</f>
        <v>共通オプション</v>
      </c>
      <c r="E139" s="32" t="e">
        <f t="shared" ref="E139:P139" si="53">INDEX($E92:$P92,1,E$67)</f>
        <v>#N/A</v>
      </c>
      <c r="F139" s="32" t="e">
        <f t="shared" si="53"/>
        <v>#N/A</v>
      </c>
      <c r="G139" s="32" t="e">
        <f t="shared" si="53"/>
        <v>#N/A</v>
      </c>
      <c r="H139" s="32" t="e">
        <f t="shared" si="53"/>
        <v>#N/A</v>
      </c>
      <c r="I139" s="32" t="e">
        <f t="shared" si="53"/>
        <v>#N/A</v>
      </c>
      <c r="J139" s="32" t="e">
        <f t="shared" si="53"/>
        <v>#N/A</v>
      </c>
      <c r="K139" s="32" t="e">
        <f t="shared" si="53"/>
        <v>#N/A</v>
      </c>
      <c r="L139" s="32" t="e">
        <f t="shared" si="53"/>
        <v>#N/A</v>
      </c>
      <c r="M139" s="32" t="e">
        <f t="shared" si="53"/>
        <v>#N/A</v>
      </c>
      <c r="N139" s="32" t="e">
        <f t="shared" si="53"/>
        <v>#N/A</v>
      </c>
      <c r="O139" s="32" t="e">
        <f t="shared" si="53"/>
        <v>#N/A</v>
      </c>
      <c r="P139" s="32" t="e">
        <f t="shared" si="53"/>
        <v>#N/A</v>
      </c>
    </row>
    <row r="141" spans="1:16" x14ac:dyDescent="0.55000000000000004">
      <c r="A141" t="str">
        <f>A94</f>
        <v>Subtotal</v>
      </c>
      <c r="E141" s="32" t="e">
        <f>INDEX($E94:$P94,1,E$67)</f>
        <v>#N/A</v>
      </c>
      <c r="F141" s="32" t="e">
        <f t="shared" ref="F141:P141" si="54">INDEX($E94:$P94,1,F$67)</f>
        <v>#N/A</v>
      </c>
      <c r="G141" s="32" t="e">
        <f t="shared" si="54"/>
        <v>#N/A</v>
      </c>
      <c r="H141" s="32" t="e">
        <f t="shared" si="54"/>
        <v>#N/A</v>
      </c>
      <c r="I141" s="32" t="e">
        <f t="shared" si="54"/>
        <v>#N/A</v>
      </c>
      <c r="J141" s="32" t="e">
        <f t="shared" si="54"/>
        <v>#N/A</v>
      </c>
      <c r="K141" s="32" t="e">
        <f t="shared" si="54"/>
        <v>#N/A</v>
      </c>
      <c r="L141" s="32" t="e">
        <f t="shared" si="54"/>
        <v>#N/A</v>
      </c>
      <c r="M141" s="32" t="e">
        <f t="shared" si="54"/>
        <v>#N/A</v>
      </c>
      <c r="N141" s="32" t="e">
        <f t="shared" si="54"/>
        <v>#N/A</v>
      </c>
      <c r="O141" s="32" t="e">
        <f t="shared" si="54"/>
        <v>#N/A</v>
      </c>
      <c r="P141" s="32" t="e">
        <f t="shared" si="54"/>
        <v>#N/A</v>
      </c>
    </row>
    <row r="143" spans="1:16" x14ac:dyDescent="0.55000000000000004">
      <c r="A143" t="str">
        <f t="shared" ref="A143:A149" si="55">A98</f>
        <v>利用可能なメモリ量 (GB)</v>
      </c>
      <c r="E143" s="32" t="e">
        <f>INDEX($E98:$P98,1,E$67)</f>
        <v>#N/A</v>
      </c>
      <c r="F143" s="32" t="e">
        <f t="shared" ref="F143:P143" si="56">INDEX($E98:$P98,1,F$67)</f>
        <v>#N/A</v>
      </c>
      <c r="G143" s="32" t="e">
        <f t="shared" si="56"/>
        <v>#N/A</v>
      </c>
      <c r="H143" s="32" t="e">
        <f t="shared" si="56"/>
        <v>#N/A</v>
      </c>
      <c r="I143" s="32" t="e">
        <f t="shared" si="56"/>
        <v>#N/A</v>
      </c>
      <c r="J143" s="32" t="e">
        <f t="shared" si="56"/>
        <v>#N/A</v>
      </c>
      <c r="K143" s="32" t="e">
        <f t="shared" si="56"/>
        <v>#N/A</v>
      </c>
      <c r="L143" s="32" t="e">
        <f t="shared" si="56"/>
        <v>#N/A</v>
      </c>
      <c r="M143" s="32" t="e">
        <f t="shared" si="56"/>
        <v>#N/A</v>
      </c>
      <c r="N143" s="32" t="e">
        <f t="shared" si="56"/>
        <v>#N/A</v>
      </c>
      <c r="O143" s="32" t="e">
        <f t="shared" si="56"/>
        <v>#N/A</v>
      </c>
      <c r="P143" s="32" t="e">
        <f t="shared" si="56"/>
        <v>#N/A</v>
      </c>
    </row>
    <row r="144" spans="1:16" x14ac:dyDescent="0.55000000000000004">
      <c r="A144" t="str">
        <f t="shared" si="55"/>
        <v>利用可能な CPU コア数 (専有)</v>
      </c>
      <c r="E144" s="32" t="e">
        <f t="shared" ref="E144:P144" si="57">INDEX($E99:$P99,1,E$67)</f>
        <v>#N/A</v>
      </c>
      <c r="F144" s="32" t="e">
        <f t="shared" si="57"/>
        <v>#N/A</v>
      </c>
      <c r="G144" s="32" t="e">
        <f t="shared" si="57"/>
        <v>#N/A</v>
      </c>
      <c r="H144" s="32" t="e">
        <f t="shared" si="57"/>
        <v>#N/A</v>
      </c>
      <c r="I144" s="32" t="e">
        <f t="shared" si="57"/>
        <v>#N/A</v>
      </c>
      <c r="J144" s="32" t="e">
        <f t="shared" si="57"/>
        <v>#N/A</v>
      </c>
      <c r="K144" s="32" t="e">
        <f t="shared" si="57"/>
        <v>#N/A</v>
      </c>
      <c r="L144" s="32" t="e">
        <f t="shared" si="57"/>
        <v>#N/A</v>
      </c>
      <c r="M144" s="32" t="e">
        <f t="shared" si="57"/>
        <v>#N/A</v>
      </c>
      <c r="N144" s="32" t="e">
        <f t="shared" si="57"/>
        <v>#N/A</v>
      </c>
      <c r="O144" s="32" t="e">
        <f t="shared" si="57"/>
        <v>#N/A</v>
      </c>
      <c r="P144" s="32" t="e">
        <f t="shared" si="57"/>
        <v>#N/A</v>
      </c>
    </row>
    <row r="145" spans="1:16" x14ac:dyDescent="0.55000000000000004">
      <c r="A145" t="str">
        <f t="shared" si="55"/>
        <v>利用可能な CPU コア数 (共有)</v>
      </c>
      <c r="E145" s="32" t="e">
        <f t="shared" ref="E145:P145" si="58">INDEX($E100:$P100,1,E$67)</f>
        <v>#N/A</v>
      </c>
      <c r="F145" s="32" t="e">
        <f t="shared" si="58"/>
        <v>#N/A</v>
      </c>
      <c r="G145" s="32" t="e">
        <f t="shared" si="58"/>
        <v>#N/A</v>
      </c>
      <c r="H145" s="32" t="e">
        <f t="shared" si="58"/>
        <v>#N/A</v>
      </c>
      <c r="I145" s="32" t="e">
        <f t="shared" si="58"/>
        <v>#N/A</v>
      </c>
      <c r="J145" s="32" t="e">
        <f t="shared" si="58"/>
        <v>#N/A</v>
      </c>
      <c r="K145" s="32" t="e">
        <f t="shared" si="58"/>
        <v>#N/A</v>
      </c>
      <c r="L145" s="32" t="e">
        <f t="shared" si="58"/>
        <v>#N/A</v>
      </c>
      <c r="M145" s="32" t="e">
        <f t="shared" si="58"/>
        <v>#N/A</v>
      </c>
      <c r="N145" s="32" t="e">
        <f t="shared" si="58"/>
        <v>#N/A</v>
      </c>
      <c r="O145" s="32" t="e">
        <f t="shared" si="58"/>
        <v>#N/A</v>
      </c>
      <c r="P145" s="32" t="e">
        <f t="shared" si="58"/>
        <v>#N/A</v>
      </c>
    </row>
    <row r="146" spans="1:16" x14ac:dyDescent="0.55000000000000004">
      <c r="A146" t="str">
        <f t="shared" si="55"/>
        <v>利用可能な Fat ノード CPU コア数 (共有)</v>
      </c>
      <c r="E146" s="32" t="e">
        <f t="shared" ref="E146:P146" si="59">INDEX($E101:$P101,1,E$67)</f>
        <v>#N/A</v>
      </c>
      <c r="F146" s="32" t="e">
        <f t="shared" si="59"/>
        <v>#N/A</v>
      </c>
      <c r="G146" s="32" t="e">
        <f t="shared" si="59"/>
        <v>#N/A</v>
      </c>
      <c r="H146" s="32" t="e">
        <f t="shared" si="59"/>
        <v>#N/A</v>
      </c>
      <c r="I146" s="32" t="e">
        <f t="shared" si="59"/>
        <v>#N/A</v>
      </c>
      <c r="J146" s="32" t="e">
        <f t="shared" si="59"/>
        <v>#N/A</v>
      </c>
      <c r="K146" s="32" t="e">
        <f t="shared" si="59"/>
        <v>#N/A</v>
      </c>
      <c r="L146" s="32" t="e">
        <f t="shared" si="59"/>
        <v>#N/A</v>
      </c>
      <c r="M146" s="32" t="e">
        <f t="shared" si="59"/>
        <v>#N/A</v>
      </c>
      <c r="N146" s="32" t="e">
        <f t="shared" si="59"/>
        <v>#N/A</v>
      </c>
      <c r="O146" s="32" t="e">
        <f t="shared" si="59"/>
        <v>#N/A</v>
      </c>
      <c r="P146" s="32" t="e">
        <f t="shared" si="59"/>
        <v>#N/A</v>
      </c>
    </row>
    <row r="147" spans="1:16" x14ac:dyDescent="0.55000000000000004">
      <c r="A147" t="str">
        <f t="shared" si="55"/>
        <v>利用可能な V100 GPU 数 (共有)</v>
      </c>
      <c r="E147" s="32" t="e">
        <f t="shared" ref="E147:P147" si="60">INDEX($E102:$P102,1,E$67)</f>
        <v>#N/A</v>
      </c>
      <c r="F147" s="32" t="e">
        <f t="shared" si="60"/>
        <v>#N/A</v>
      </c>
      <c r="G147" s="32" t="e">
        <f t="shared" si="60"/>
        <v>#N/A</v>
      </c>
      <c r="H147" s="32" t="e">
        <f t="shared" si="60"/>
        <v>#N/A</v>
      </c>
      <c r="I147" s="32" t="e">
        <f t="shared" si="60"/>
        <v>#N/A</v>
      </c>
      <c r="J147" s="32" t="e">
        <f t="shared" si="60"/>
        <v>#N/A</v>
      </c>
      <c r="K147" s="32" t="e">
        <f t="shared" si="60"/>
        <v>#N/A</v>
      </c>
      <c r="L147" s="32" t="e">
        <f t="shared" si="60"/>
        <v>#N/A</v>
      </c>
      <c r="M147" s="32" t="e">
        <f t="shared" si="60"/>
        <v>#N/A</v>
      </c>
      <c r="N147" s="32" t="e">
        <f t="shared" si="60"/>
        <v>#N/A</v>
      </c>
      <c r="O147" s="32" t="e">
        <f t="shared" si="60"/>
        <v>#N/A</v>
      </c>
      <c r="P147" s="32" t="e">
        <f t="shared" si="60"/>
        <v>#N/A</v>
      </c>
    </row>
    <row r="148" spans="1:16" x14ac:dyDescent="0.55000000000000004">
      <c r="A148" t="str">
        <f t="shared" si="55"/>
        <v>利用可能な A100 GPU 数 (共有)</v>
      </c>
      <c r="E148" s="32" t="e">
        <f t="shared" ref="E148:P148" si="61">INDEX($E103:$P103,1,E$67)</f>
        <v>#N/A</v>
      </c>
      <c r="F148" s="32" t="e">
        <f t="shared" si="61"/>
        <v>#N/A</v>
      </c>
      <c r="G148" s="32" t="e">
        <f t="shared" si="61"/>
        <v>#N/A</v>
      </c>
      <c r="H148" s="32" t="e">
        <f t="shared" si="61"/>
        <v>#N/A</v>
      </c>
      <c r="I148" s="32" t="e">
        <f t="shared" si="61"/>
        <v>#N/A</v>
      </c>
      <c r="J148" s="32" t="e">
        <f t="shared" si="61"/>
        <v>#N/A</v>
      </c>
      <c r="K148" s="32" t="e">
        <f t="shared" si="61"/>
        <v>#N/A</v>
      </c>
      <c r="L148" s="32" t="e">
        <f t="shared" si="61"/>
        <v>#N/A</v>
      </c>
      <c r="M148" s="32" t="e">
        <f t="shared" si="61"/>
        <v>#N/A</v>
      </c>
      <c r="N148" s="32" t="e">
        <f t="shared" si="61"/>
        <v>#N/A</v>
      </c>
      <c r="O148" s="32" t="e">
        <f t="shared" si="61"/>
        <v>#N/A</v>
      </c>
      <c r="P148" s="32" t="e">
        <f t="shared" si="61"/>
        <v>#N/A</v>
      </c>
    </row>
    <row r="149" spans="1:16" x14ac:dyDescent="0.55000000000000004">
      <c r="A149" t="str">
        <f t="shared" si="55"/>
        <v>利用可能な H100 GPU 数 (共有)</v>
      </c>
      <c r="E149" s="32" t="e">
        <f t="shared" ref="E149:P149" si="62">INDEX($E104:$P104,1,E$67)</f>
        <v>#N/A</v>
      </c>
      <c r="F149" s="32" t="e">
        <f t="shared" si="62"/>
        <v>#N/A</v>
      </c>
      <c r="G149" s="32" t="e">
        <f t="shared" si="62"/>
        <v>#N/A</v>
      </c>
      <c r="H149" s="32" t="e">
        <f t="shared" si="62"/>
        <v>#N/A</v>
      </c>
      <c r="I149" s="32" t="e">
        <f t="shared" si="62"/>
        <v>#N/A</v>
      </c>
      <c r="J149" s="32" t="e">
        <f t="shared" si="62"/>
        <v>#N/A</v>
      </c>
      <c r="K149" s="32" t="e">
        <f t="shared" si="62"/>
        <v>#N/A</v>
      </c>
      <c r="L149" s="32" t="e">
        <f t="shared" si="62"/>
        <v>#N/A</v>
      </c>
      <c r="M149" s="32" t="e">
        <f t="shared" si="62"/>
        <v>#N/A</v>
      </c>
      <c r="N149" s="32" t="e">
        <f t="shared" si="62"/>
        <v>#N/A</v>
      </c>
      <c r="O149" s="32" t="e">
        <f t="shared" si="62"/>
        <v>#N/A</v>
      </c>
      <c r="P149" s="32" t="e">
        <f t="shared" si="62"/>
        <v>#N/A</v>
      </c>
    </row>
    <row r="150" spans="1:16" x14ac:dyDescent="0.55000000000000004">
      <c r="A150" t="str">
        <f t="shared" ref="A150:B150" si="63">A105</f>
        <v>ホーム Disk</v>
      </c>
      <c r="B150" t="str">
        <f t="shared" si="63"/>
        <v>容量 (TiB)</v>
      </c>
      <c r="E150" s="32" t="e">
        <f t="shared" ref="E150:P150" si="64">INDEX($E105:$P105,1,E$67)</f>
        <v>#N/A</v>
      </c>
      <c r="F150" s="32" t="e">
        <f t="shared" si="64"/>
        <v>#N/A</v>
      </c>
      <c r="G150" s="32" t="e">
        <f t="shared" si="64"/>
        <v>#N/A</v>
      </c>
      <c r="H150" s="32" t="e">
        <f t="shared" si="64"/>
        <v>#N/A</v>
      </c>
      <c r="I150" s="32" t="e">
        <f t="shared" si="64"/>
        <v>#N/A</v>
      </c>
      <c r="J150" s="32" t="e">
        <f t="shared" si="64"/>
        <v>#N/A</v>
      </c>
      <c r="K150" s="32" t="e">
        <f t="shared" si="64"/>
        <v>#N/A</v>
      </c>
      <c r="L150" s="32" t="e">
        <f t="shared" si="64"/>
        <v>#N/A</v>
      </c>
      <c r="M150" s="32" t="e">
        <f t="shared" si="64"/>
        <v>#N/A</v>
      </c>
      <c r="N150" s="32" t="e">
        <f t="shared" si="64"/>
        <v>#N/A</v>
      </c>
      <c r="O150" s="32" t="e">
        <f t="shared" si="64"/>
        <v>#N/A</v>
      </c>
      <c r="P150" s="32" t="e">
        <f t="shared" si="64"/>
        <v>#N/A</v>
      </c>
    </row>
    <row r="151" spans="1:16" x14ac:dyDescent="0.55000000000000004">
      <c r="B151" t="str">
        <f t="shared" ref="B151" si="65">B106</f>
        <v>ファイル数 (百万)</v>
      </c>
      <c r="E151" s="32" t="e">
        <f t="shared" ref="E151:P151" si="66">INDEX($E106:$P106,1,E$67)</f>
        <v>#N/A</v>
      </c>
      <c r="F151" s="32" t="e">
        <f t="shared" si="66"/>
        <v>#N/A</v>
      </c>
      <c r="G151" s="32" t="e">
        <f t="shared" si="66"/>
        <v>#N/A</v>
      </c>
      <c r="H151" s="32" t="e">
        <f t="shared" si="66"/>
        <v>#N/A</v>
      </c>
      <c r="I151" s="32" t="e">
        <f t="shared" si="66"/>
        <v>#N/A</v>
      </c>
      <c r="J151" s="32" t="e">
        <f t="shared" si="66"/>
        <v>#N/A</v>
      </c>
      <c r="K151" s="32" t="e">
        <f t="shared" si="66"/>
        <v>#N/A</v>
      </c>
      <c r="L151" s="32" t="e">
        <f t="shared" si="66"/>
        <v>#N/A</v>
      </c>
      <c r="M151" s="32" t="e">
        <f t="shared" si="66"/>
        <v>#N/A</v>
      </c>
      <c r="N151" s="32" t="e">
        <f t="shared" si="66"/>
        <v>#N/A</v>
      </c>
      <c r="O151" s="32" t="e">
        <f t="shared" si="66"/>
        <v>#N/A</v>
      </c>
      <c r="P151" s="32" t="e">
        <f t="shared" si="66"/>
        <v>#N/A</v>
      </c>
    </row>
    <row r="152" spans="1:16" x14ac:dyDescent="0.55000000000000004">
      <c r="A152" t="str">
        <f t="shared" ref="A152" si="67">A107</f>
        <v>アーカイブ Disk 容量 (TiB)</v>
      </c>
      <c r="E152" s="32" t="e">
        <f t="shared" ref="E152:P152" si="68">INDEX($E107:$P107,1,E$67)</f>
        <v>#N/A</v>
      </c>
      <c r="F152" s="32" t="e">
        <f t="shared" si="68"/>
        <v>#N/A</v>
      </c>
      <c r="G152" s="32" t="e">
        <f t="shared" si="68"/>
        <v>#N/A</v>
      </c>
      <c r="H152" s="32" t="e">
        <f t="shared" si="68"/>
        <v>#N/A</v>
      </c>
      <c r="I152" s="32" t="e">
        <f t="shared" si="68"/>
        <v>#N/A</v>
      </c>
      <c r="J152" s="32" t="e">
        <f t="shared" si="68"/>
        <v>#N/A</v>
      </c>
      <c r="K152" s="32" t="e">
        <f t="shared" si="68"/>
        <v>#N/A</v>
      </c>
      <c r="L152" s="32" t="e">
        <f t="shared" si="68"/>
        <v>#N/A</v>
      </c>
      <c r="M152" s="32" t="e">
        <f t="shared" si="68"/>
        <v>#N/A</v>
      </c>
      <c r="N152" s="32" t="e">
        <f t="shared" si="68"/>
        <v>#N/A</v>
      </c>
      <c r="O152" s="32" t="e">
        <f t="shared" si="68"/>
        <v>#N/A</v>
      </c>
      <c r="P152" s="32" t="e">
        <f t="shared" si="68"/>
        <v>#N/A</v>
      </c>
    </row>
    <row r="154" spans="1:16" x14ac:dyDescent="0.55000000000000004">
      <c r="E154" s="32" t="e">
        <f>IF(E$68,E116,0)</f>
        <v>#N/A</v>
      </c>
      <c r="F154" s="32" t="e">
        <f t="shared" ref="F154:P154" si="69">IF(F$68,F116,0)</f>
        <v>#N/A</v>
      </c>
      <c r="G154" s="32" t="e">
        <f t="shared" si="69"/>
        <v>#N/A</v>
      </c>
      <c r="H154" s="32" t="e">
        <f t="shared" si="69"/>
        <v>#N/A</v>
      </c>
      <c r="I154" s="32" t="e">
        <f t="shared" si="69"/>
        <v>#N/A</v>
      </c>
      <c r="J154" s="32" t="e">
        <f t="shared" si="69"/>
        <v>#N/A</v>
      </c>
      <c r="K154" s="32" t="e">
        <f t="shared" si="69"/>
        <v>#N/A</v>
      </c>
      <c r="L154" s="32" t="e">
        <f t="shared" si="69"/>
        <v>#N/A</v>
      </c>
      <c r="M154" s="32" t="e">
        <f t="shared" si="69"/>
        <v>#N/A</v>
      </c>
      <c r="N154" s="32" t="e">
        <f t="shared" si="69"/>
        <v>#N/A</v>
      </c>
      <c r="O154" s="32" t="e">
        <f t="shared" si="69"/>
        <v>#N/A</v>
      </c>
      <c r="P154" s="32" t="e">
        <f t="shared" si="69"/>
        <v>#N/A</v>
      </c>
    </row>
    <row r="155" spans="1:16" x14ac:dyDescent="0.55000000000000004">
      <c r="A155" t="str">
        <f>A117</f>
        <v>コース</v>
      </c>
      <c r="E155" s="32" t="e">
        <f>IF(E$68,E117,0)</f>
        <v>#N/A</v>
      </c>
      <c r="F155" s="32" t="e">
        <f t="shared" ref="F155:P155" si="70">IF(F$68,F117,0)</f>
        <v>#N/A</v>
      </c>
      <c r="G155" s="32" t="e">
        <f t="shared" si="70"/>
        <v>#N/A</v>
      </c>
      <c r="H155" s="32" t="e">
        <f t="shared" si="70"/>
        <v>#N/A</v>
      </c>
      <c r="I155" s="32" t="e">
        <f t="shared" si="70"/>
        <v>#N/A</v>
      </c>
      <c r="J155" s="32" t="e">
        <f t="shared" si="70"/>
        <v>#N/A</v>
      </c>
      <c r="K155" s="32" t="e">
        <f t="shared" si="70"/>
        <v>#N/A</v>
      </c>
      <c r="L155" s="32" t="e">
        <f t="shared" si="70"/>
        <v>#N/A</v>
      </c>
      <c r="M155" s="32" t="e">
        <f t="shared" si="70"/>
        <v>#N/A</v>
      </c>
      <c r="N155" s="32" t="e">
        <f t="shared" si="70"/>
        <v>#N/A</v>
      </c>
      <c r="O155" s="32" t="e">
        <f t="shared" si="70"/>
        <v>#N/A</v>
      </c>
      <c r="P155" s="32" t="e">
        <f t="shared" si="70"/>
        <v>#N/A</v>
      </c>
    </row>
    <row r="156" spans="1:16" x14ac:dyDescent="0.55000000000000004">
      <c r="A156" t="str">
        <f t="shared" ref="A156:A164" si="71">A129</f>
        <v>専有追加 (192 CPU コア単位)</v>
      </c>
      <c r="E156" s="32" t="e">
        <f t="shared" ref="E156:P156" si="72">IF(E$68,E118,0)</f>
        <v>#N/A</v>
      </c>
      <c r="F156" s="32" t="e">
        <f t="shared" si="72"/>
        <v>#N/A</v>
      </c>
      <c r="G156" s="32" t="e">
        <f t="shared" si="72"/>
        <v>#N/A</v>
      </c>
      <c r="H156" s="32" t="e">
        <f t="shared" si="72"/>
        <v>#N/A</v>
      </c>
      <c r="I156" s="32" t="e">
        <f t="shared" si="72"/>
        <v>#N/A</v>
      </c>
      <c r="J156" s="32" t="e">
        <f t="shared" si="72"/>
        <v>#N/A</v>
      </c>
      <c r="K156" s="32" t="e">
        <f t="shared" si="72"/>
        <v>#N/A</v>
      </c>
      <c r="L156" s="32" t="e">
        <f t="shared" si="72"/>
        <v>#N/A</v>
      </c>
      <c r="M156" s="32" t="e">
        <f t="shared" si="72"/>
        <v>#N/A</v>
      </c>
      <c r="N156" s="32" t="e">
        <f t="shared" si="72"/>
        <v>#N/A</v>
      </c>
      <c r="O156" s="32" t="e">
        <f t="shared" si="72"/>
        <v>#N/A</v>
      </c>
      <c r="P156" s="32" t="e">
        <f t="shared" si="72"/>
        <v>#N/A</v>
      </c>
    </row>
    <row r="157" spans="1:16" x14ac:dyDescent="0.55000000000000004">
      <c r="A157" t="str">
        <f t="shared" si="71"/>
        <v>共有追加 (310 CPU コア単位)</v>
      </c>
      <c r="E157" s="32" t="e">
        <f t="shared" ref="E157:P157" si="73">IF(E$68,E119,0)</f>
        <v>#N/A</v>
      </c>
      <c r="F157" s="32" t="e">
        <f t="shared" si="73"/>
        <v>#N/A</v>
      </c>
      <c r="G157" s="32" t="e">
        <f t="shared" si="73"/>
        <v>#N/A</v>
      </c>
      <c r="H157" s="32" t="e">
        <f t="shared" si="73"/>
        <v>#N/A</v>
      </c>
      <c r="I157" s="32" t="e">
        <f t="shared" si="73"/>
        <v>#N/A</v>
      </c>
      <c r="J157" s="32" t="e">
        <f t="shared" si="73"/>
        <v>#N/A</v>
      </c>
      <c r="K157" s="32" t="e">
        <f t="shared" si="73"/>
        <v>#N/A</v>
      </c>
      <c r="L157" s="32" t="e">
        <f t="shared" si="73"/>
        <v>#N/A</v>
      </c>
      <c r="M157" s="32" t="e">
        <f t="shared" si="73"/>
        <v>#N/A</v>
      </c>
      <c r="N157" s="32" t="e">
        <f t="shared" si="73"/>
        <v>#N/A</v>
      </c>
      <c r="O157" s="32" t="e">
        <f t="shared" si="73"/>
        <v>#N/A</v>
      </c>
      <c r="P157" s="32" t="e">
        <f t="shared" si="73"/>
        <v>#N/A</v>
      </c>
    </row>
    <row r="158" spans="1:16" x14ac:dyDescent="0.55000000000000004">
      <c r="A158" t="str">
        <f t="shared" si="71"/>
        <v>計算ノード Fat 追加 (8 CPU コア単位)</v>
      </c>
      <c r="E158" s="32" t="e">
        <f t="shared" ref="E158:P158" si="74">IF(E$68,E120,0)</f>
        <v>#N/A</v>
      </c>
      <c r="F158" s="32" t="e">
        <f t="shared" si="74"/>
        <v>#N/A</v>
      </c>
      <c r="G158" s="32" t="e">
        <f t="shared" si="74"/>
        <v>#N/A</v>
      </c>
      <c r="H158" s="32" t="e">
        <f t="shared" si="74"/>
        <v>#N/A</v>
      </c>
      <c r="I158" s="32" t="e">
        <f t="shared" si="74"/>
        <v>#N/A</v>
      </c>
      <c r="J158" s="32" t="e">
        <f t="shared" si="74"/>
        <v>#N/A</v>
      </c>
      <c r="K158" s="32" t="e">
        <f t="shared" si="74"/>
        <v>#N/A</v>
      </c>
      <c r="L158" s="32" t="e">
        <f t="shared" si="74"/>
        <v>#N/A</v>
      </c>
      <c r="M158" s="32" t="e">
        <f t="shared" si="74"/>
        <v>#N/A</v>
      </c>
      <c r="N158" s="32" t="e">
        <f t="shared" si="74"/>
        <v>#N/A</v>
      </c>
      <c r="O158" s="32" t="e">
        <f t="shared" si="74"/>
        <v>#N/A</v>
      </c>
      <c r="P158" s="32" t="e">
        <f t="shared" si="74"/>
        <v>#N/A</v>
      </c>
    </row>
    <row r="159" spans="1:16" x14ac:dyDescent="0.55000000000000004">
      <c r="A159" t="str">
        <f t="shared" si="71"/>
        <v>アクセラレータ V100 追加 (1 GPU 単位)</v>
      </c>
      <c r="E159" s="32" t="e">
        <f t="shared" ref="E159:P159" si="75">IF(E$68,E121,0)</f>
        <v>#N/A</v>
      </c>
      <c r="F159" s="32" t="e">
        <f t="shared" si="75"/>
        <v>#N/A</v>
      </c>
      <c r="G159" s="32" t="e">
        <f t="shared" si="75"/>
        <v>#N/A</v>
      </c>
      <c r="H159" s="32" t="e">
        <f t="shared" si="75"/>
        <v>#N/A</v>
      </c>
      <c r="I159" s="32" t="e">
        <f t="shared" si="75"/>
        <v>#N/A</v>
      </c>
      <c r="J159" s="32" t="e">
        <f t="shared" si="75"/>
        <v>#N/A</v>
      </c>
      <c r="K159" s="32" t="e">
        <f t="shared" si="75"/>
        <v>#N/A</v>
      </c>
      <c r="L159" s="32" t="e">
        <f t="shared" si="75"/>
        <v>#N/A</v>
      </c>
      <c r="M159" s="32" t="e">
        <f t="shared" si="75"/>
        <v>#N/A</v>
      </c>
      <c r="N159" s="32" t="e">
        <f t="shared" si="75"/>
        <v>#N/A</v>
      </c>
      <c r="O159" s="32" t="e">
        <f t="shared" si="75"/>
        <v>#N/A</v>
      </c>
      <c r="P159" s="32" t="e">
        <f t="shared" si="75"/>
        <v>#N/A</v>
      </c>
    </row>
    <row r="160" spans="1:16" x14ac:dyDescent="0.55000000000000004">
      <c r="A160" t="str">
        <f t="shared" si="71"/>
        <v>アクセラレータ A100 追加 (1 GPU 単位)</v>
      </c>
      <c r="E160" s="32" t="e">
        <f t="shared" ref="E160:P160" si="76">IF(E$68,E122,0)</f>
        <v>#N/A</v>
      </c>
      <c r="F160" s="32" t="e">
        <f t="shared" si="76"/>
        <v>#N/A</v>
      </c>
      <c r="G160" s="32" t="e">
        <f t="shared" si="76"/>
        <v>#N/A</v>
      </c>
      <c r="H160" s="32" t="e">
        <f t="shared" si="76"/>
        <v>#N/A</v>
      </c>
      <c r="I160" s="32" t="e">
        <f t="shared" si="76"/>
        <v>#N/A</v>
      </c>
      <c r="J160" s="32" t="e">
        <f t="shared" si="76"/>
        <v>#N/A</v>
      </c>
      <c r="K160" s="32" t="e">
        <f t="shared" si="76"/>
        <v>#N/A</v>
      </c>
      <c r="L160" s="32" t="e">
        <f t="shared" si="76"/>
        <v>#N/A</v>
      </c>
      <c r="M160" s="32" t="e">
        <f t="shared" si="76"/>
        <v>#N/A</v>
      </c>
      <c r="N160" s="32" t="e">
        <f t="shared" si="76"/>
        <v>#N/A</v>
      </c>
      <c r="O160" s="32" t="e">
        <f t="shared" si="76"/>
        <v>#N/A</v>
      </c>
      <c r="P160" s="32" t="e">
        <f t="shared" si="76"/>
        <v>#N/A</v>
      </c>
    </row>
    <row r="161" spans="1:16" x14ac:dyDescent="0.55000000000000004">
      <c r="A161" t="str">
        <f t="shared" si="71"/>
        <v>アクセラレータ H100 追加 (1 GPU 単位)</v>
      </c>
      <c r="E161" s="32" t="e">
        <f t="shared" ref="E161:P161" si="77">IF(E$68,E123,0)</f>
        <v>#N/A</v>
      </c>
      <c r="F161" s="32" t="e">
        <f t="shared" si="77"/>
        <v>#N/A</v>
      </c>
      <c r="G161" s="32" t="e">
        <f t="shared" si="77"/>
        <v>#N/A</v>
      </c>
      <c r="H161" s="32" t="e">
        <f t="shared" si="77"/>
        <v>#N/A</v>
      </c>
      <c r="I161" s="32" t="e">
        <f t="shared" si="77"/>
        <v>#N/A</v>
      </c>
      <c r="J161" s="32" t="e">
        <f t="shared" si="77"/>
        <v>#N/A</v>
      </c>
      <c r="K161" s="32" t="e">
        <f t="shared" si="77"/>
        <v>#N/A</v>
      </c>
      <c r="L161" s="32" t="e">
        <f t="shared" si="77"/>
        <v>#N/A</v>
      </c>
      <c r="M161" s="32" t="e">
        <f t="shared" si="77"/>
        <v>#N/A</v>
      </c>
      <c r="N161" s="32" t="e">
        <f t="shared" si="77"/>
        <v>#N/A</v>
      </c>
      <c r="O161" s="32" t="e">
        <f t="shared" si="77"/>
        <v>#N/A</v>
      </c>
      <c r="P161" s="32" t="e">
        <f t="shared" si="77"/>
        <v>#N/A</v>
      </c>
    </row>
    <row r="162" spans="1:16" x14ac:dyDescent="0.55000000000000004">
      <c r="A162" t="str">
        <f t="shared" si="71"/>
        <v>ホーム Disk 容量追加 (1 TiB 単位)</v>
      </c>
      <c r="E162" s="32" t="e">
        <f t="shared" ref="E162:P162" si="78">IF(E$68,E124,0)</f>
        <v>#N/A</v>
      </c>
      <c r="F162" s="32" t="e">
        <f t="shared" si="78"/>
        <v>#N/A</v>
      </c>
      <c r="G162" s="32" t="e">
        <f t="shared" si="78"/>
        <v>#N/A</v>
      </c>
      <c r="H162" s="32" t="e">
        <f t="shared" si="78"/>
        <v>#N/A</v>
      </c>
      <c r="I162" s="32" t="e">
        <f t="shared" si="78"/>
        <v>#N/A</v>
      </c>
      <c r="J162" s="32" t="e">
        <f t="shared" si="78"/>
        <v>#N/A</v>
      </c>
      <c r="K162" s="32" t="e">
        <f t="shared" si="78"/>
        <v>#N/A</v>
      </c>
      <c r="L162" s="32" t="e">
        <f t="shared" si="78"/>
        <v>#N/A</v>
      </c>
      <c r="M162" s="32" t="e">
        <f t="shared" si="78"/>
        <v>#N/A</v>
      </c>
      <c r="N162" s="32" t="e">
        <f t="shared" si="78"/>
        <v>#N/A</v>
      </c>
      <c r="O162" s="32" t="e">
        <f t="shared" si="78"/>
        <v>#N/A</v>
      </c>
      <c r="P162" s="32" t="e">
        <f t="shared" si="78"/>
        <v>#N/A</v>
      </c>
    </row>
    <row r="163" spans="1:16" x14ac:dyDescent="0.55000000000000004">
      <c r="A163" t="str">
        <f t="shared" si="71"/>
        <v>アーカイブ Disk 追加 (1 TiB 単位)</v>
      </c>
      <c r="E163" s="32" t="e">
        <f t="shared" ref="E163:P163" si="79">IF(E$68,E125,0)</f>
        <v>#N/A</v>
      </c>
      <c r="F163" s="32" t="e">
        <f t="shared" si="79"/>
        <v>#N/A</v>
      </c>
      <c r="G163" s="32" t="e">
        <f t="shared" si="79"/>
        <v>#N/A</v>
      </c>
      <c r="H163" s="32" t="e">
        <f t="shared" si="79"/>
        <v>#N/A</v>
      </c>
      <c r="I163" s="32" t="e">
        <f t="shared" si="79"/>
        <v>#N/A</v>
      </c>
      <c r="J163" s="32" t="e">
        <f t="shared" si="79"/>
        <v>#N/A</v>
      </c>
      <c r="K163" s="32" t="e">
        <f t="shared" si="79"/>
        <v>#N/A</v>
      </c>
      <c r="L163" s="32" t="e">
        <f t="shared" si="79"/>
        <v>#N/A</v>
      </c>
      <c r="M163" s="32" t="e">
        <f t="shared" si="79"/>
        <v>#N/A</v>
      </c>
      <c r="N163" s="32" t="e">
        <f t="shared" si="79"/>
        <v>#N/A</v>
      </c>
      <c r="O163" s="32" t="e">
        <f t="shared" si="79"/>
        <v>#N/A</v>
      </c>
      <c r="P163" s="32" t="e">
        <f t="shared" si="79"/>
        <v>#N/A</v>
      </c>
    </row>
    <row r="164" spans="1:16" x14ac:dyDescent="0.55000000000000004">
      <c r="A164" t="str">
        <f t="shared" si="71"/>
        <v>サポートポイント【SP】</v>
      </c>
      <c r="E164" s="32" t="e">
        <f t="shared" ref="E164:P164" si="80">IF(E$68,E126,0)</f>
        <v>#N/A</v>
      </c>
      <c r="F164" s="32" t="e">
        <f t="shared" si="80"/>
        <v>#N/A</v>
      </c>
      <c r="G164" s="32" t="e">
        <f t="shared" si="80"/>
        <v>#N/A</v>
      </c>
      <c r="H164" s="32" t="e">
        <f t="shared" si="80"/>
        <v>#N/A</v>
      </c>
      <c r="I164" s="32" t="e">
        <f t="shared" si="80"/>
        <v>#N/A</v>
      </c>
      <c r="J164" s="32" t="e">
        <f t="shared" si="80"/>
        <v>#N/A</v>
      </c>
      <c r="K164" s="32" t="e">
        <f t="shared" si="80"/>
        <v>#N/A</v>
      </c>
      <c r="L164" s="32" t="e">
        <f t="shared" si="80"/>
        <v>#N/A</v>
      </c>
      <c r="M164" s="32" t="e">
        <f t="shared" si="80"/>
        <v>#N/A</v>
      </c>
      <c r="N164" s="32" t="e">
        <f t="shared" si="80"/>
        <v>#N/A</v>
      </c>
      <c r="O164" s="32" t="e">
        <f t="shared" si="80"/>
        <v>#N/A</v>
      </c>
      <c r="P164" s="32" t="e">
        <f t="shared" si="80"/>
        <v>#N/A</v>
      </c>
    </row>
    <row r="166" spans="1:16" x14ac:dyDescent="0.55000000000000004">
      <c r="A166" t="str">
        <f t="shared" ref="A166" si="81">A128</f>
        <v>コース</v>
      </c>
      <c r="E166" s="32" t="e">
        <f>IF(E$68,E128,0)</f>
        <v>#N/A</v>
      </c>
      <c r="F166" s="32" t="e">
        <f t="shared" ref="F166:P166" si="82">IF(F$68,F128,0)</f>
        <v>#N/A</v>
      </c>
      <c r="G166" s="32" t="e">
        <f t="shared" si="82"/>
        <v>#N/A</v>
      </c>
      <c r="H166" s="32" t="e">
        <f t="shared" si="82"/>
        <v>#N/A</v>
      </c>
      <c r="I166" s="32" t="e">
        <f t="shared" si="82"/>
        <v>#N/A</v>
      </c>
      <c r="J166" s="32" t="e">
        <f t="shared" si="82"/>
        <v>#N/A</v>
      </c>
      <c r="K166" s="32" t="e">
        <f t="shared" si="82"/>
        <v>#N/A</v>
      </c>
      <c r="L166" s="32" t="e">
        <f t="shared" si="82"/>
        <v>#N/A</v>
      </c>
      <c r="M166" s="32" t="e">
        <f t="shared" si="82"/>
        <v>#N/A</v>
      </c>
      <c r="N166" s="32" t="e">
        <f t="shared" si="82"/>
        <v>#N/A</v>
      </c>
      <c r="O166" s="32" t="e">
        <f t="shared" si="82"/>
        <v>#N/A</v>
      </c>
      <c r="P166" s="32" t="e">
        <f t="shared" si="82"/>
        <v>#N/A</v>
      </c>
    </row>
    <row r="167" spans="1:16" x14ac:dyDescent="0.55000000000000004">
      <c r="A167" t="str">
        <f t="shared" ref="A167:A175" si="83">A129</f>
        <v>専有追加 (192 CPU コア単位)</v>
      </c>
      <c r="E167" s="32" t="e">
        <f t="shared" ref="E167:P167" si="84">IF(E$68,E129,0)</f>
        <v>#N/A</v>
      </c>
      <c r="F167" s="32" t="e">
        <f t="shared" si="84"/>
        <v>#N/A</v>
      </c>
      <c r="G167" s="32" t="e">
        <f t="shared" si="84"/>
        <v>#N/A</v>
      </c>
      <c r="H167" s="32" t="e">
        <f t="shared" si="84"/>
        <v>#N/A</v>
      </c>
      <c r="I167" s="32" t="e">
        <f t="shared" si="84"/>
        <v>#N/A</v>
      </c>
      <c r="J167" s="32" t="e">
        <f t="shared" si="84"/>
        <v>#N/A</v>
      </c>
      <c r="K167" s="32" t="e">
        <f t="shared" si="84"/>
        <v>#N/A</v>
      </c>
      <c r="L167" s="32" t="e">
        <f t="shared" si="84"/>
        <v>#N/A</v>
      </c>
      <c r="M167" s="32" t="e">
        <f t="shared" si="84"/>
        <v>#N/A</v>
      </c>
      <c r="N167" s="32" t="e">
        <f t="shared" si="84"/>
        <v>#N/A</v>
      </c>
      <c r="O167" s="32" t="e">
        <f t="shared" si="84"/>
        <v>#N/A</v>
      </c>
      <c r="P167" s="32" t="e">
        <f t="shared" si="84"/>
        <v>#N/A</v>
      </c>
    </row>
    <row r="168" spans="1:16" x14ac:dyDescent="0.55000000000000004">
      <c r="A168" t="str">
        <f t="shared" si="83"/>
        <v>共有追加 (310 CPU コア単位)</v>
      </c>
      <c r="E168" s="32" t="e">
        <f t="shared" ref="E168:P168" si="85">IF(E$68,E130,0)</f>
        <v>#N/A</v>
      </c>
      <c r="F168" s="32" t="e">
        <f t="shared" si="85"/>
        <v>#N/A</v>
      </c>
      <c r="G168" s="32" t="e">
        <f t="shared" si="85"/>
        <v>#N/A</v>
      </c>
      <c r="H168" s="32" t="e">
        <f t="shared" si="85"/>
        <v>#N/A</v>
      </c>
      <c r="I168" s="32" t="e">
        <f t="shared" si="85"/>
        <v>#N/A</v>
      </c>
      <c r="J168" s="32" t="e">
        <f t="shared" si="85"/>
        <v>#N/A</v>
      </c>
      <c r="K168" s="32" t="e">
        <f t="shared" si="85"/>
        <v>#N/A</v>
      </c>
      <c r="L168" s="32" t="e">
        <f t="shared" si="85"/>
        <v>#N/A</v>
      </c>
      <c r="M168" s="32" t="e">
        <f t="shared" si="85"/>
        <v>#N/A</v>
      </c>
      <c r="N168" s="32" t="e">
        <f t="shared" si="85"/>
        <v>#N/A</v>
      </c>
      <c r="O168" s="32" t="e">
        <f t="shared" si="85"/>
        <v>#N/A</v>
      </c>
      <c r="P168" s="32" t="e">
        <f t="shared" si="85"/>
        <v>#N/A</v>
      </c>
    </row>
    <row r="169" spans="1:16" x14ac:dyDescent="0.55000000000000004">
      <c r="A169" t="str">
        <f t="shared" si="83"/>
        <v>計算ノード Fat 追加 (8 CPU コア単位)</v>
      </c>
      <c r="E169" s="32" t="e">
        <f t="shared" ref="E169:P169" si="86">IF(E$68,E131,0)</f>
        <v>#N/A</v>
      </c>
      <c r="F169" s="32" t="e">
        <f t="shared" si="86"/>
        <v>#N/A</v>
      </c>
      <c r="G169" s="32" t="e">
        <f t="shared" si="86"/>
        <v>#N/A</v>
      </c>
      <c r="H169" s="32" t="e">
        <f t="shared" si="86"/>
        <v>#N/A</v>
      </c>
      <c r="I169" s="32" t="e">
        <f t="shared" si="86"/>
        <v>#N/A</v>
      </c>
      <c r="J169" s="32" t="e">
        <f t="shared" si="86"/>
        <v>#N/A</v>
      </c>
      <c r="K169" s="32" t="e">
        <f t="shared" si="86"/>
        <v>#N/A</v>
      </c>
      <c r="L169" s="32" t="e">
        <f t="shared" si="86"/>
        <v>#N/A</v>
      </c>
      <c r="M169" s="32" t="e">
        <f t="shared" si="86"/>
        <v>#N/A</v>
      </c>
      <c r="N169" s="32" t="e">
        <f t="shared" si="86"/>
        <v>#N/A</v>
      </c>
      <c r="O169" s="32" t="e">
        <f t="shared" si="86"/>
        <v>#N/A</v>
      </c>
      <c r="P169" s="32" t="e">
        <f t="shared" si="86"/>
        <v>#N/A</v>
      </c>
    </row>
    <row r="170" spans="1:16" x14ac:dyDescent="0.55000000000000004">
      <c r="A170" t="str">
        <f t="shared" si="83"/>
        <v>アクセラレータ V100 追加 (1 GPU 単位)</v>
      </c>
      <c r="E170" s="32" t="e">
        <f t="shared" ref="E170:P170" si="87">IF(E$68,E132,0)</f>
        <v>#N/A</v>
      </c>
      <c r="F170" s="32" t="e">
        <f t="shared" si="87"/>
        <v>#N/A</v>
      </c>
      <c r="G170" s="32" t="e">
        <f t="shared" si="87"/>
        <v>#N/A</v>
      </c>
      <c r="H170" s="32" t="e">
        <f t="shared" si="87"/>
        <v>#N/A</v>
      </c>
      <c r="I170" s="32" t="e">
        <f t="shared" si="87"/>
        <v>#N/A</v>
      </c>
      <c r="J170" s="32" t="e">
        <f t="shared" si="87"/>
        <v>#N/A</v>
      </c>
      <c r="K170" s="32" t="e">
        <f t="shared" si="87"/>
        <v>#N/A</v>
      </c>
      <c r="L170" s="32" t="e">
        <f t="shared" si="87"/>
        <v>#N/A</v>
      </c>
      <c r="M170" s="32" t="e">
        <f t="shared" si="87"/>
        <v>#N/A</v>
      </c>
      <c r="N170" s="32" t="e">
        <f t="shared" si="87"/>
        <v>#N/A</v>
      </c>
      <c r="O170" s="32" t="e">
        <f t="shared" si="87"/>
        <v>#N/A</v>
      </c>
      <c r="P170" s="32" t="e">
        <f t="shared" si="87"/>
        <v>#N/A</v>
      </c>
    </row>
    <row r="171" spans="1:16" x14ac:dyDescent="0.55000000000000004">
      <c r="A171" t="str">
        <f t="shared" si="83"/>
        <v>アクセラレータ A100 追加 (1 GPU 単位)</v>
      </c>
      <c r="E171" s="32" t="e">
        <f t="shared" ref="E171:P171" si="88">IF(E$68,E133,0)</f>
        <v>#N/A</v>
      </c>
      <c r="F171" s="32" t="e">
        <f t="shared" si="88"/>
        <v>#N/A</v>
      </c>
      <c r="G171" s="32" t="e">
        <f t="shared" si="88"/>
        <v>#N/A</v>
      </c>
      <c r="H171" s="32" t="e">
        <f t="shared" si="88"/>
        <v>#N/A</v>
      </c>
      <c r="I171" s="32" t="e">
        <f t="shared" si="88"/>
        <v>#N/A</v>
      </c>
      <c r="J171" s="32" t="e">
        <f t="shared" si="88"/>
        <v>#N/A</v>
      </c>
      <c r="K171" s="32" t="e">
        <f t="shared" si="88"/>
        <v>#N/A</v>
      </c>
      <c r="L171" s="32" t="e">
        <f t="shared" si="88"/>
        <v>#N/A</v>
      </c>
      <c r="M171" s="32" t="e">
        <f t="shared" si="88"/>
        <v>#N/A</v>
      </c>
      <c r="N171" s="32" t="e">
        <f t="shared" si="88"/>
        <v>#N/A</v>
      </c>
      <c r="O171" s="32" t="e">
        <f t="shared" si="88"/>
        <v>#N/A</v>
      </c>
      <c r="P171" s="32" t="e">
        <f t="shared" si="88"/>
        <v>#N/A</v>
      </c>
    </row>
    <row r="172" spans="1:16" x14ac:dyDescent="0.55000000000000004">
      <c r="A172" t="str">
        <f t="shared" si="83"/>
        <v>アクセラレータ H100 追加 (1 GPU 単位)</v>
      </c>
      <c r="E172" s="32" t="e">
        <f t="shared" ref="E172:P172" si="89">IF(E$68,E134,0)</f>
        <v>#N/A</v>
      </c>
      <c r="F172" s="32" t="e">
        <f t="shared" si="89"/>
        <v>#N/A</v>
      </c>
      <c r="G172" s="32" t="e">
        <f t="shared" si="89"/>
        <v>#N/A</v>
      </c>
      <c r="H172" s="32" t="e">
        <f t="shared" si="89"/>
        <v>#N/A</v>
      </c>
      <c r="I172" s="32" t="e">
        <f t="shared" si="89"/>
        <v>#N/A</v>
      </c>
      <c r="J172" s="32" t="e">
        <f t="shared" si="89"/>
        <v>#N/A</v>
      </c>
      <c r="K172" s="32" t="e">
        <f t="shared" si="89"/>
        <v>#N/A</v>
      </c>
      <c r="L172" s="32" t="e">
        <f t="shared" si="89"/>
        <v>#N/A</v>
      </c>
      <c r="M172" s="32" t="e">
        <f t="shared" si="89"/>
        <v>#N/A</v>
      </c>
      <c r="N172" s="32" t="e">
        <f t="shared" si="89"/>
        <v>#N/A</v>
      </c>
      <c r="O172" s="32" t="e">
        <f t="shared" si="89"/>
        <v>#N/A</v>
      </c>
      <c r="P172" s="32" t="e">
        <f t="shared" si="89"/>
        <v>#N/A</v>
      </c>
    </row>
    <row r="173" spans="1:16" x14ac:dyDescent="0.55000000000000004">
      <c r="A173" t="str">
        <f t="shared" si="83"/>
        <v>ホーム Disk 容量追加 (1 TiB 単位)</v>
      </c>
      <c r="E173" s="32" t="e">
        <f t="shared" ref="E173:P173" si="90">IF(E$68,E135,0)</f>
        <v>#N/A</v>
      </c>
      <c r="F173" s="32" t="e">
        <f t="shared" si="90"/>
        <v>#N/A</v>
      </c>
      <c r="G173" s="32" t="e">
        <f t="shared" si="90"/>
        <v>#N/A</v>
      </c>
      <c r="H173" s="32" t="e">
        <f t="shared" si="90"/>
        <v>#N/A</v>
      </c>
      <c r="I173" s="32" t="e">
        <f t="shared" si="90"/>
        <v>#N/A</v>
      </c>
      <c r="J173" s="32" t="e">
        <f t="shared" si="90"/>
        <v>#N/A</v>
      </c>
      <c r="K173" s="32" t="e">
        <f t="shared" si="90"/>
        <v>#N/A</v>
      </c>
      <c r="L173" s="32" t="e">
        <f t="shared" si="90"/>
        <v>#N/A</v>
      </c>
      <c r="M173" s="32" t="e">
        <f t="shared" si="90"/>
        <v>#N/A</v>
      </c>
      <c r="N173" s="32" t="e">
        <f t="shared" si="90"/>
        <v>#N/A</v>
      </c>
      <c r="O173" s="32" t="e">
        <f t="shared" si="90"/>
        <v>#N/A</v>
      </c>
      <c r="P173" s="32" t="e">
        <f t="shared" si="90"/>
        <v>#N/A</v>
      </c>
    </row>
    <row r="174" spans="1:16" x14ac:dyDescent="0.55000000000000004">
      <c r="A174" t="str">
        <f t="shared" si="83"/>
        <v>アーカイブ Disk 追加 (1 TiB 単位)</v>
      </c>
      <c r="E174" s="32" t="e">
        <f t="shared" ref="E174:P174" si="91">IF(E$68,E136,0)</f>
        <v>#N/A</v>
      </c>
      <c r="F174" s="32" t="e">
        <f t="shared" si="91"/>
        <v>#N/A</v>
      </c>
      <c r="G174" s="32" t="e">
        <f t="shared" si="91"/>
        <v>#N/A</v>
      </c>
      <c r="H174" s="32" t="e">
        <f t="shared" si="91"/>
        <v>#N/A</v>
      </c>
      <c r="I174" s="32" t="e">
        <f t="shared" si="91"/>
        <v>#N/A</v>
      </c>
      <c r="J174" s="32" t="e">
        <f t="shared" si="91"/>
        <v>#N/A</v>
      </c>
      <c r="K174" s="32" t="e">
        <f t="shared" si="91"/>
        <v>#N/A</v>
      </c>
      <c r="L174" s="32" t="e">
        <f t="shared" si="91"/>
        <v>#N/A</v>
      </c>
      <c r="M174" s="32" t="e">
        <f t="shared" si="91"/>
        <v>#N/A</v>
      </c>
      <c r="N174" s="32" t="e">
        <f t="shared" si="91"/>
        <v>#N/A</v>
      </c>
      <c r="O174" s="32" t="e">
        <f t="shared" si="91"/>
        <v>#N/A</v>
      </c>
      <c r="P174" s="32" t="e">
        <f t="shared" si="91"/>
        <v>#N/A</v>
      </c>
    </row>
    <row r="175" spans="1:16" x14ac:dyDescent="0.55000000000000004">
      <c r="A175" t="str">
        <f t="shared" si="83"/>
        <v>サポートポイント【SP】</v>
      </c>
      <c r="E175" s="32" t="e">
        <f t="shared" ref="E175:P175" si="92">IF(E$68,E137,0)</f>
        <v>#N/A</v>
      </c>
      <c r="F175" s="32" t="e">
        <f t="shared" si="92"/>
        <v>#N/A</v>
      </c>
      <c r="G175" s="32" t="e">
        <f t="shared" si="92"/>
        <v>#N/A</v>
      </c>
      <c r="H175" s="32" t="e">
        <f t="shared" si="92"/>
        <v>#N/A</v>
      </c>
      <c r="I175" s="32" t="e">
        <f t="shared" si="92"/>
        <v>#N/A</v>
      </c>
      <c r="J175" s="32" t="e">
        <f t="shared" si="92"/>
        <v>#N/A</v>
      </c>
      <c r="K175" s="32" t="e">
        <f t="shared" si="92"/>
        <v>#N/A</v>
      </c>
      <c r="L175" s="32" t="e">
        <f t="shared" si="92"/>
        <v>#N/A</v>
      </c>
      <c r="M175" s="32" t="e">
        <f t="shared" si="92"/>
        <v>#N/A</v>
      </c>
      <c r="N175" s="32" t="e">
        <f t="shared" si="92"/>
        <v>#N/A</v>
      </c>
      <c r="O175" s="32" t="e">
        <f t="shared" si="92"/>
        <v>#N/A</v>
      </c>
      <c r="P175" s="32" t="e">
        <f t="shared" si="92"/>
        <v>#N/A</v>
      </c>
    </row>
    <row r="177" spans="1:17" x14ac:dyDescent="0.55000000000000004">
      <c r="A177" t="str">
        <f>A139</f>
        <v>共通オプション</v>
      </c>
      <c r="E177" s="32" t="e">
        <f>IF(E$68,E139,0)</f>
        <v>#N/A</v>
      </c>
      <c r="F177" s="32" t="e">
        <f t="shared" ref="F177:P177" si="93">IF(F$68,F139,0)</f>
        <v>#N/A</v>
      </c>
      <c r="G177" s="32" t="e">
        <f t="shared" si="93"/>
        <v>#N/A</v>
      </c>
      <c r="H177" s="32" t="e">
        <f t="shared" si="93"/>
        <v>#N/A</v>
      </c>
      <c r="I177" s="32" t="e">
        <f t="shared" si="93"/>
        <v>#N/A</v>
      </c>
      <c r="J177" s="32" t="e">
        <f t="shared" si="93"/>
        <v>#N/A</v>
      </c>
      <c r="K177" s="32" t="e">
        <f t="shared" si="93"/>
        <v>#N/A</v>
      </c>
      <c r="L177" s="32" t="e">
        <f t="shared" si="93"/>
        <v>#N/A</v>
      </c>
      <c r="M177" s="32" t="e">
        <f t="shared" si="93"/>
        <v>#N/A</v>
      </c>
      <c r="N177" s="32" t="e">
        <f t="shared" si="93"/>
        <v>#N/A</v>
      </c>
      <c r="O177" s="32" t="e">
        <f t="shared" si="93"/>
        <v>#N/A</v>
      </c>
      <c r="P177" s="32" t="e">
        <f t="shared" si="93"/>
        <v>#N/A</v>
      </c>
    </row>
    <row r="179" spans="1:17" x14ac:dyDescent="0.55000000000000004">
      <c r="A179" t="str">
        <f>A141</f>
        <v>Subtotal</v>
      </c>
      <c r="E179" s="32" t="e">
        <f>IF(E$68,E141,0)</f>
        <v>#N/A</v>
      </c>
      <c r="F179" s="32" t="e">
        <f t="shared" ref="F179:P179" si="94">IF(F$68,F141,0)</f>
        <v>#N/A</v>
      </c>
      <c r="G179" s="32" t="e">
        <f t="shared" si="94"/>
        <v>#N/A</v>
      </c>
      <c r="H179" s="32" t="e">
        <f t="shared" si="94"/>
        <v>#N/A</v>
      </c>
      <c r="I179" s="32" t="e">
        <f t="shared" si="94"/>
        <v>#N/A</v>
      </c>
      <c r="J179" s="32" t="e">
        <f t="shared" si="94"/>
        <v>#N/A</v>
      </c>
      <c r="K179" s="32" t="e">
        <f t="shared" si="94"/>
        <v>#N/A</v>
      </c>
      <c r="L179" s="32" t="e">
        <f t="shared" si="94"/>
        <v>#N/A</v>
      </c>
      <c r="M179" s="32" t="e">
        <f t="shared" si="94"/>
        <v>#N/A</v>
      </c>
      <c r="N179" s="32" t="e">
        <f t="shared" si="94"/>
        <v>#N/A</v>
      </c>
      <c r="O179" s="32" t="e">
        <f>IF(O$68,O141,0)</f>
        <v>#N/A</v>
      </c>
      <c r="P179" s="32" t="e">
        <f t="shared" si="94"/>
        <v>#N/A</v>
      </c>
      <c r="Q179" s="32" t="e">
        <f>SUM(E179:P179)</f>
        <v>#N/A</v>
      </c>
    </row>
    <row r="181" spans="1:17" x14ac:dyDescent="0.55000000000000004">
      <c r="A181" t="str">
        <f>IF(L,"合計メモリ量","Total memories")&amp;" (GB)"</f>
        <v>合計メモリ量 (GB)</v>
      </c>
      <c r="E181" s="32" t="e">
        <f>IF(E$68,E143,0)</f>
        <v>#N/A</v>
      </c>
      <c r="F181" s="32" t="e">
        <f t="shared" ref="F181:P181" si="95">IF(F$68,F143,0)</f>
        <v>#N/A</v>
      </c>
      <c r="G181" s="32" t="e">
        <f t="shared" si="95"/>
        <v>#N/A</v>
      </c>
      <c r="H181" s="32" t="e">
        <f t="shared" si="95"/>
        <v>#N/A</v>
      </c>
      <c r="I181" s="32" t="e">
        <f t="shared" si="95"/>
        <v>#N/A</v>
      </c>
      <c r="J181" s="32" t="e">
        <f t="shared" si="95"/>
        <v>#N/A</v>
      </c>
      <c r="K181" s="32" t="e">
        <f t="shared" si="95"/>
        <v>#N/A</v>
      </c>
      <c r="L181" s="32" t="e">
        <f t="shared" si="95"/>
        <v>#N/A</v>
      </c>
      <c r="M181" s="32" t="e">
        <f t="shared" si="95"/>
        <v>#N/A</v>
      </c>
      <c r="N181" s="32" t="e">
        <f t="shared" si="95"/>
        <v>#N/A</v>
      </c>
      <c r="O181" s="32" t="e">
        <f t="shared" si="95"/>
        <v>#N/A</v>
      </c>
      <c r="P181" s="32" t="e">
        <f t="shared" si="95"/>
        <v>#N/A</v>
      </c>
    </row>
    <row r="182" spans="1:17" x14ac:dyDescent="0.55000000000000004">
      <c r="A182" t="str">
        <f>IF(L,"専有 CPU コア数","Exclusive CPU cores")</f>
        <v>専有 CPU コア数</v>
      </c>
      <c r="E182" s="32" t="e">
        <f t="shared" ref="E182:P182" si="96">IF(E$68,E144,0)</f>
        <v>#N/A</v>
      </c>
      <c r="F182" s="32" t="e">
        <f t="shared" si="96"/>
        <v>#N/A</v>
      </c>
      <c r="G182" s="32" t="e">
        <f t="shared" si="96"/>
        <v>#N/A</v>
      </c>
      <c r="H182" s="32" t="e">
        <f t="shared" si="96"/>
        <v>#N/A</v>
      </c>
      <c r="I182" s="32" t="e">
        <f t="shared" si="96"/>
        <v>#N/A</v>
      </c>
      <c r="J182" s="32" t="e">
        <f t="shared" si="96"/>
        <v>#N/A</v>
      </c>
      <c r="K182" s="32" t="e">
        <f t="shared" si="96"/>
        <v>#N/A</v>
      </c>
      <c r="L182" s="32" t="e">
        <f t="shared" si="96"/>
        <v>#N/A</v>
      </c>
      <c r="M182" s="32" t="e">
        <f t="shared" si="96"/>
        <v>#N/A</v>
      </c>
      <c r="N182" s="32" t="e">
        <f t="shared" si="96"/>
        <v>#N/A</v>
      </c>
      <c r="O182" s="32" t="e">
        <f t="shared" si="96"/>
        <v>#N/A</v>
      </c>
      <c r="P182" s="32" t="e">
        <f t="shared" si="96"/>
        <v>#N/A</v>
      </c>
    </row>
    <row r="183" spans="1:17" x14ac:dyDescent="0.55000000000000004">
      <c r="A183" t="str">
        <f>IF(L,"共有 CPU コア数","Shared CPU cores")</f>
        <v>共有 CPU コア数</v>
      </c>
      <c r="E183" s="32" t="e">
        <f t="shared" ref="E183:P183" si="97">IF(E$68,E145,0)</f>
        <v>#N/A</v>
      </c>
      <c r="F183" s="32" t="e">
        <f t="shared" si="97"/>
        <v>#N/A</v>
      </c>
      <c r="G183" s="32" t="e">
        <f t="shared" si="97"/>
        <v>#N/A</v>
      </c>
      <c r="H183" s="32" t="e">
        <f t="shared" si="97"/>
        <v>#N/A</v>
      </c>
      <c r="I183" s="32" t="e">
        <f t="shared" si="97"/>
        <v>#N/A</v>
      </c>
      <c r="J183" s="32" t="e">
        <f t="shared" si="97"/>
        <v>#N/A</v>
      </c>
      <c r="K183" s="32" t="e">
        <f t="shared" si="97"/>
        <v>#N/A</v>
      </c>
      <c r="L183" s="32" t="e">
        <f t="shared" si="97"/>
        <v>#N/A</v>
      </c>
      <c r="M183" s="32" t="e">
        <f t="shared" si="97"/>
        <v>#N/A</v>
      </c>
      <c r="N183" s="32" t="e">
        <f t="shared" si="97"/>
        <v>#N/A</v>
      </c>
      <c r="O183" s="32" t="e">
        <f t="shared" si="97"/>
        <v>#N/A</v>
      </c>
      <c r="P183" s="32" t="e">
        <f t="shared" si="97"/>
        <v>#N/A</v>
      </c>
    </row>
    <row r="184" spans="1:17" x14ac:dyDescent="0.55000000000000004">
      <c r="A184" t="str">
        <f>IF(L,"共有 Fat ノード CPU コア数","Shared Fat node CPU cores")</f>
        <v>共有 Fat ノード CPU コア数</v>
      </c>
      <c r="E184" s="32" t="e">
        <f t="shared" ref="E184:P184" si="98">IF(E$68,E146,0)</f>
        <v>#N/A</v>
      </c>
      <c r="F184" s="32" t="e">
        <f t="shared" si="98"/>
        <v>#N/A</v>
      </c>
      <c r="G184" s="32" t="e">
        <f t="shared" si="98"/>
        <v>#N/A</v>
      </c>
      <c r="H184" s="32" t="e">
        <f t="shared" si="98"/>
        <v>#N/A</v>
      </c>
      <c r="I184" s="32" t="e">
        <f t="shared" si="98"/>
        <v>#N/A</v>
      </c>
      <c r="J184" s="32" t="e">
        <f t="shared" si="98"/>
        <v>#N/A</v>
      </c>
      <c r="K184" s="32" t="e">
        <f t="shared" si="98"/>
        <v>#N/A</v>
      </c>
      <c r="L184" s="32" t="e">
        <f t="shared" si="98"/>
        <v>#N/A</v>
      </c>
      <c r="M184" s="32" t="e">
        <f t="shared" si="98"/>
        <v>#N/A</v>
      </c>
      <c r="N184" s="32" t="e">
        <f t="shared" si="98"/>
        <v>#N/A</v>
      </c>
      <c r="O184" s="32" t="e">
        <f t="shared" si="98"/>
        <v>#N/A</v>
      </c>
      <c r="P184" s="32" t="e">
        <f t="shared" si="98"/>
        <v>#N/A</v>
      </c>
    </row>
    <row r="185" spans="1:17" x14ac:dyDescent="0.55000000000000004">
      <c r="A185" t="str">
        <f>IF(L,"V100 GPU 数","V100 GPU")</f>
        <v>V100 GPU 数</v>
      </c>
      <c r="E185" s="32" t="e">
        <f t="shared" ref="E185:P185" si="99">IF(E$68,E147,0)</f>
        <v>#N/A</v>
      </c>
      <c r="F185" s="32" t="e">
        <f t="shared" si="99"/>
        <v>#N/A</v>
      </c>
      <c r="G185" s="32" t="e">
        <f t="shared" si="99"/>
        <v>#N/A</v>
      </c>
      <c r="H185" s="32" t="e">
        <f t="shared" si="99"/>
        <v>#N/A</v>
      </c>
      <c r="I185" s="32" t="e">
        <f t="shared" si="99"/>
        <v>#N/A</v>
      </c>
      <c r="J185" s="32" t="e">
        <f t="shared" si="99"/>
        <v>#N/A</v>
      </c>
      <c r="K185" s="32" t="e">
        <f t="shared" si="99"/>
        <v>#N/A</v>
      </c>
      <c r="L185" s="32" t="e">
        <f t="shared" si="99"/>
        <v>#N/A</v>
      </c>
      <c r="M185" s="32" t="e">
        <f t="shared" si="99"/>
        <v>#N/A</v>
      </c>
      <c r="N185" s="32" t="e">
        <f t="shared" si="99"/>
        <v>#N/A</v>
      </c>
      <c r="O185" s="32" t="e">
        <f t="shared" si="99"/>
        <v>#N/A</v>
      </c>
      <c r="P185" s="32" t="e">
        <f t="shared" si="99"/>
        <v>#N/A</v>
      </c>
    </row>
    <row r="186" spans="1:17" x14ac:dyDescent="0.55000000000000004">
      <c r="A186" t="str">
        <f>IF(L,"A100 GPU 数","A100 GPU")</f>
        <v>A100 GPU 数</v>
      </c>
      <c r="E186" s="32" t="e">
        <f t="shared" ref="E186:P186" si="100">IF(E$68,E148,0)</f>
        <v>#N/A</v>
      </c>
      <c r="F186" s="32" t="e">
        <f t="shared" si="100"/>
        <v>#N/A</v>
      </c>
      <c r="G186" s="32" t="e">
        <f t="shared" si="100"/>
        <v>#N/A</v>
      </c>
      <c r="H186" s="32" t="e">
        <f t="shared" si="100"/>
        <v>#N/A</v>
      </c>
      <c r="I186" s="32" t="e">
        <f t="shared" si="100"/>
        <v>#N/A</v>
      </c>
      <c r="J186" s="32" t="e">
        <f t="shared" si="100"/>
        <v>#N/A</v>
      </c>
      <c r="K186" s="32" t="e">
        <f t="shared" si="100"/>
        <v>#N/A</v>
      </c>
      <c r="L186" s="32" t="e">
        <f t="shared" si="100"/>
        <v>#N/A</v>
      </c>
      <c r="M186" s="32" t="e">
        <f t="shared" si="100"/>
        <v>#N/A</v>
      </c>
      <c r="N186" s="32" t="e">
        <f t="shared" si="100"/>
        <v>#N/A</v>
      </c>
      <c r="O186" s="32" t="e">
        <f t="shared" si="100"/>
        <v>#N/A</v>
      </c>
      <c r="P186" s="32" t="e">
        <f t="shared" si="100"/>
        <v>#N/A</v>
      </c>
    </row>
    <row r="187" spans="1:17" x14ac:dyDescent="0.55000000000000004">
      <c r="A187" t="str">
        <f>IF(L,"H100 GPU 数","H100 GPU")</f>
        <v>H100 GPU 数</v>
      </c>
      <c r="E187" s="32" t="e">
        <f t="shared" ref="E187:P187" si="101">IF(E$68,E149,0)</f>
        <v>#N/A</v>
      </c>
      <c r="F187" s="32" t="e">
        <f t="shared" si="101"/>
        <v>#N/A</v>
      </c>
      <c r="G187" s="32" t="e">
        <f t="shared" si="101"/>
        <v>#N/A</v>
      </c>
      <c r="H187" s="32" t="e">
        <f t="shared" si="101"/>
        <v>#N/A</v>
      </c>
      <c r="I187" s="32" t="e">
        <f t="shared" si="101"/>
        <v>#N/A</v>
      </c>
      <c r="J187" s="32" t="e">
        <f t="shared" si="101"/>
        <v>#N/A</v>
      </c>
      <c r="K187" s="32" t="e">
        <f t="shared" si="101"/>
        <v>#N/A</v>
      </c>
      <c r="L187" s="32" t="e">
        <f t="shared" si="101"/>
        <v>#N/A</v>
      </c>
      <c r="M187" s="32" t="e">
        <f t="shared" si="101"/>
        <v>#N/A</v>
      </c>
      <c r="N187" s="32" t="e">
        <f t="shared" si="101"/>
        <v>#N/A</v>
      </c>
      <c r="O187" s="32" t="e">
        <f t="shared" si="101"/>
        <v>#N/A</v>
      </c>
      <c r="P187" s="32" t="e">
        <f t="shared" si="101"/>
        <v>#N/A</v>
      </c>
    </row>
    <row r="188" spans="1:17" x14ac:dyDescent="0.55000000000000004">
      <c r="A188" t="str">
        <f>IF(L,"ホーム Disk","Home Disk")</f>
        <v>ホーム Disk</v>
      </c>
      <c r="B188" t="str">
        <f>IF(L,"容量 (TiB)","Space (TiB)")</f>
        <v>容量 (TiB)</v>
      </c>
      <c r="E188" s="32" t="e">
        <f t="shared" ref="E188:P188" si="102">IF(E$68,E150,0)</f>
        <v>#N/A</v>
      </c>
      <c r="F188" s="32" t="e">
        <f t="shared" si="102"/>
        <v>#N/A</v>
      </c>
      <c r="G188" s="32" t="e">
        <f t="shared" si="102"/>
        <v>#N/A</v>
      </c>
      <c r="H188" s="32" t="e">
        <f t="shared" si="102"/>
        <v>#N/A</v>
      </c>
      <c r="I188" s="32" t="e">
        <f t="shared" si="102"/>
        <v>#N/A</v>
      </c>
      <c r="J188" s="32" t="e">
        <f t="shared" si="102"/>
        <v>#N/A</v>
      </c>
      <c r="K188" s="32" t="e">
        <f t="shared" si="102"/>
        <v>#N/A</v>
      </c>
      <c r="L188" s="32" t="e">
        <f t="shared" si="102"/>
        <v>#N/A</v>
      </c>
      <c r="M188" s="32" t="e">
        <f t="shared" si="102"/>
        <v>#N/A</v>
      </c>
      <c r="N188" s="32" t="e">
        <f t="shared" si="102"/>
        <v>#N/A</v>
      </c>
      <c r="O188" s="32" t="e">
        <f t="shared" si="102"/>
        <v>#N/A</v>
      </c>
      <c r="P188" s="32" t="e">
        <f t="shared" si="102"/>
        <v>#N/A</v>
      </c>
    </row>
    <row r="189" spans="1:17" x14ac:dyDescent="0.55000000000000004">
      <c r="B189" t="str">
        <f>IF(L,"ファイル数 (百万)","Number of files (million)")</f>
        <v>ファイル数 (百万)</v>
      </c>
      <c r="E189" s="32" t="e">
        <f t="shared" ref="E189:P189" si="103">IF(E$68,E151,0)</f>
        <v>#N/A</v>
      </c>
      <c r="F189" s="32" t="e">
        <f t="shared" si="103"/>
        <v>#N/A</v>
      </c>
      <c r="G189" s="32" t="e">
        <f t="shared" si="103"/>
        <v>#N/A</v>
      </c>
      <c r="H189" s="32" t="e">
        <f t="shared" si="103"/>
        <v>#N/A</v>
      </c>
      <c r="I189" s="32" t="e">
        <f t="shared" si="103"/>
        <v>#N/A</v>
      </c>
      <c r="J189" s="32" t="e">
        <f t="shared" si="103"/>
        <v>#N/A</v>
      </c>
      <c r="K189" s="32" t="e">
        <f t="shared" si="103"/>
        <v>#N/A</v>
      </c>
      <c r="L189" s="32" t="e">
        <f t="shared" si="103"/>
        <v>#N/A</v>
      </c>
      <c r="M189" s="32" t="e">
        <f t="shared" si="103"/>
        <v>#N/A</v>
      </c>
      <c r="N189" s="32" t="e">
        <f t="shared" si="103"/>
        <v>#N/A</v>
      </c>
      <c r="O189" s="32" t="e">
        <f t="shared" si="103"/>
        <v>#N/A</v>
      </c>
      <c r="P189" s="32" t="e">
        <f t="shared" si="103"/>
        <v>#N/A</v>
      </c>
    </row>
    <row r="190" spans="1:17" x14ac:dyDescent="0.55000000000000004">
      <c r="A190" t="str">
        <f>IF(L,"アーカイブ Disk 容量 (TiB)","Archive Disk space (TiB)")</f>
        <v>アーカイブ Disk 容量 (TiB)</v>
      </c>
      <c r="E190" s="32" t="e">
        <f t="shared" ref="E190:P190" si="104">IF(E$68,E152,0)</f>
        <v>#N/A</v>
      </c>
      <c r="F190" s="32" t="e">
        <f t="shared" si="104"/>
        <v>#N/A</v>
      </c>
      <c r="G190" s="32" t="e">
        <f t="shared" si="104"/>
        <v>#N/A</v>
      </c>
      <c r="H190" s="32" t="e">
        <f t="shared" si="104"/>
        <v>#N/A</v>
      </c>
      <c r="I190" s="32" t="e">
        <f t="shared" si="104"/>
        <v>#N/A</v>
      </c>
      <c r="J190" s="32" t="e">
        <f t="shared" si="104"/>
        <v>#N/A</v>
      </c>
      <c r="K190" s="32" t="e">
        <f t="shared" si="104"/>
        <v>#N/A</v>
      </c>
      <c r="L190" s="32" t="e">
        <f t="shared" si="104"/>
        <v>#N/A</v>
      </c>
      <c r="M190" s="32" t="e">
        <f t="shared" si="104"/>
        <v>#N/A</v>
      </c>
      <c r="N190" s="32" t="e">
        <f t="shared" si="104"/>
        <v>#N/A</v>
      </c>
      <c r="O190" s="32" t="e">
        <f t="shared" si="104"/>
        <v>#N/A</v>
      </c>
      <c r="P190" s="32" t="e">
        <f t="shared" si="104"/>
        <v>#N/A</v>
      </c>
    </row>
    <row r="191" spans="1:17" x14ac:dyDescent="0.55000000000000004">
      <c r="A191" t="str">
        <f>IF(L,"データ転送量","Data transfer amount")</f>
        <v>データ転送量</v>
      </c>
      <c r="E191" s="32" t="e">
        <f>IF(E68,IF(L,"無制限","Unlimited"),"")</f>
        <v>#N/A</v>
      </c>
      <c r="F191" s="32" t="e">
        <f t="shared" ref="F191:P191" si="105">IF(F68,E191,"")</f>
        <v>#N/A</v>
      </c>
      <c r="G191" s="32" t="e">
        <f t="shared" si="105"/>
        <v>#N/A</v>
      </c>
      <c r="H191" s="32" t="e">
        <f t="shared" si="105"/>
        <v>#N/A</v>
      </c>
      <c r="I191" s="32" t="e">
        <f t="shared" si="105"/>
        <v>#N/A</v>
      </c>
      <c r="J191" s="32" t="e">
        <f t="shared" si="105"/>
        <v>#N/A</v>
      </c>
      <c r="K191" s="32" t="e">
        <f t="shared" si="105"/>
        <v>#N/A</v>
      </c>
      <c r="L191" s="32" t="e">
        <f t="shared" si="105"/>
        <v>#N/A</v>
      </c>
      <c r="M191" s="32" t="e">
        <f t="shared" si="105"/>
        <v>#N/A</v>
      </c>
      <c r="N191" s="32" t="e">
        <f t="shared" si="105"/>
        <v>#N/A</v>
      </c>
      <c r="O191" s="32" t="e">
        <f t="shared" si="105"/>
        <v>#N/A</v>
      </c>
      <c r="P191" s="32" t="e">
        <f t="shared" si="105"/>
        <v>#N/A</v>
      </c>
    </row>
    <row r="193" spans="1:17" x14ac:dyDescent="0.55000000000000004">
      <c r="B193" t="b">
        <f>OR(IF(B194,TRUE),IF(B195,TRUE),IF(B196,TRUE),IF(B197,TRUE),IF(B198,TRUE),IF(B199,TRUE),IF(B200,TRUE))</f>
        <v>0</v>
      </c>
    </row>
    <row r="194" spans="1:17" x14ac:dyDescent="0.55000000000000004">
      <c r="A194" t="str">
        <f>'Input sheet 4'!C23</f>
        <v>持込 Disk 接続 (フルアクセス)</v>
      </c>
      <c r="B194" s="132">
        <f>VALUE('Input sheet 4'!C25)</f>
        <v>0</v>
      </c>
    </row>
    <row r="195" spans="1:17" x14ac:dyDescent="0.55000000000000004">
      <c r="A195" t="str">
        <f>'Input sheet 4'!C28</f>
        <v>Disk 送付 (スタンダード)</v>
      </c>
      <c r="B195" s="132">
        <f>VALUE('Input sheet 4'!C30)</f>
        <v>0</v>
      </c>
    </row>
    <row r="196" spans="1:17" x14ac:dyDescent="0.55000000000000004">
      <c r="A196" t="str">
        <f>'Input sheet 4'!C33</f>
        <v>Disk 送付 (プレミアム)</v>
      </c>
      <c r="B196" s="132">
        <f>VALUE('Input sheet 4'!C35)</f>
        <v>0</v>
      </c>
    </row>
    <row r="197" spans="1:17" x14ac:dyDescent="0.55000000000000004">
      <c r="A197" t="str">
        <f>'Input sheet 4'!C38</f>
        <v>大規模並列ジョブ用短期専有</v>
      </c>
      <c r="B197" s="132">
        <f>VALUE('Input sheet 4'!C40)</f>
        <v>0</v>
      </c>
    </row>
    <row r="198" spans="1:17" x14ac:dyDescent="0.55000000000000004">
      <c r="A198" t="str">
        <f>'Input sheet 4'!C43</f>
        <v>セキュリティパック</v>
      </c>
      <c r="B198" s="132">
        <f>VALUE('Input sheet 4'!C45)</f>
        <v>0</v>
      </c>
    </row>
    <row r="199" spans="1:17" x14ac:dyDescent="0.55000000000000004">
      <c r="A199" t="str">
        <f>'Input sheet 4'!C48</f>
        <v>ハードディスク破壊</v>
      </c>
      <c r="B199" s="132">
        <f>VALUE('Input sheet 4'!C50)</f>
        <v>0</v>
      </c>
    </row>
    <row r="200" spans="1:17" x14ac:dyDescent="0.55000000000000004">
      <c r="A200" t="str">
        <f>'Input sheet 4'!C58</f>
        <v>ソフトウェア優先インストール</v>
      </c>
      <c r="B200" s="132">
        <f>VALUE('Input sheet 4'!C60)</f>
        <v>0</v>
      </c>
    </row>
    <row r="202" spans="1:17" ht="18.75" customHeight="1" x14ac:dyDescent="0.55000000000000004">
      <c r="A202" s="4" t="s">
        <v>94</v>
      </c>
    </row>
    <row r="203" spans="1:17" x14ac:dyDescent="0.55000000000000004">
      <c r="A203" t="str">
        <f>IF(L,"利用料金 (合計)","Usage fee (total)")</f>
        <v>利用料金 (合計)</v>
      </c>
    </row>
    <row r="205" spans="1:17" x14ac:dyDescent="0.55000000000000004">
      <c r="A205">
        <v>400</v>
      </c>
    </row>
    <row r="207" spans="1:17" x14ac:dyDescent="0.55000000000000004">
      <c r="A207" t="s">
        <v>95</v>
      </c>
    </row>
    <row r="208" spans="1:17" x14ac:dyDescent="0.55000000000000004">
      <c r="E208" t="e">
        <f>IF(E$68,MID($A$207,E67+1,1),"")</f>
        <v>#N/A</v>
      </c>
      <c r="F208" t="e">
        <f t="shared" ref="F208:P208" si="106">IF(F$68,MID($A$207,F67+1,1),"")</f>
        <v>#N/A</v>
      </c>
      <c r="G208" t="e">
        <f t="shared" si="106"/>
        <v>#N/A</v>
      </c>
      <c r="H208" t="e">
        <f t="shared" si="106"/>
        <v>#N/A</v>
      </c>
      <c r="I208" t="e">
        <f t="shared" si="106"/>
        <v>#N/A</v>
      </c>
      <c r="J208" t="e">
        <f t="shared" si="106"/>
        <v>#N/A</v>
      </c>
      <c r="K208" t="e">
        <f t="shared" si="106"/>
        <v>#N/A</v>
      </c>
      <c r="L208" t="e">
        <f t="shared" si="106"/>
        <v>#N/A</v>
      </c>
      <c r="M208" t="e">
        <f t="shared" si="106"/>
        <v>#N/A</v>
      </c>
      <c r="N208" t="e">
        <f t="shared" si="106"/>
        <v>#N/A</v>
      </c>
      <c r="O208" t="e">
        <f t="shared" si="106"/>
        <v>#N/A</v>
      </c>
      <c r="P208" t="e">
        <f t="shared" si="106"/>
        <v>#N/A</v>
      </c>
      <c r="Q208" s="32" t="e">
        <f>E208&amp;F208&amp;G208&amp;H208&amp;I208&amp;J208&amp;K208&amp;L208&amp;M208&amp;N208&amp;O208&amp;P208</f>
        <v>#N/A</v>
      </c>
    </row>
    <row r="209" spans="1:27" x14ac:dyDescent="0.55000000000000004">
      <c r="A209" t="str">
        <f t="shared" ref="A209:A218" si="107">A155</f>
        <v>コース</v>
      </c>
      <c r="B209" s="32"/>
      <c r="C209" s="32"/>
      <c r="D209" s="32" t="str">
        <f>$F$18</f>
        <v>H</v>
      </c>
      <c r="E209" s="32" t="e">
        <f>IF(E$68,IF(MID(E155,MIN(FIND({0,1,2,3,4,5,6,7,8,9},E155&amp;"0123456789")),LEN(E155))&lt;&gt;"",MID(E155,MIN(FIND({0,1,2,3,4,5,6,7,8,9},E155&amp;"0123456789")),LEN(E155)),"0"),"")</f>
        <v>#N/A</v>
      </c>
      <c r="F209" s="32" t="e">
        <f>IF(F$68,IF(MID(F155,MIN(FIND({0,1,2,3,4,5,6,7,8,9},F155&amp;"0123456789")),LEN(F155))&lt;&gt;"",MID(F155,MIN(FIND({0,1,2,3,4,5,6,7,8,9},F155&amp;"0123456789")),LEN(F155)),"0"),"")</f>
        <v>#N/A</v>
      </c>
      <c r="G209" s="32" t="e">
        <f>IF(G$68,IF(MID(G155,MIN(FIND({0,1,2,3,4,5,6,7,8,9},G155&amp;"0123456789")),LEN(G155))&lt;&gt;"",MID(G155,MIN(FIND({0,1,2,3,4,5,6,7,8,9},G155&amp;"0123456789")),LEN(G155)),"0"),"")</f>
        <v>#N/A</v>
      </c>
      <c r="H209" s="32" t="e">
        <f>IF(H$68,IF(MID(H155,MIN(FIND({0,1,2,3,4,5,6,7,8,9},H155&amp;"0123456789")),LEN(H155))&lt;&gt;"",MID(H155,MIN(FIND({0,1,2,3,4,5,6,7,8,9},H155&amp;"0123456789")),LEN(H155)),"0"),"")</f>
        <v>#N/A</v>
      </c>
      <c r="I209" s="32" t="e">
        <f>IF(I$68,IF(MID(I155,MIN(FIND({0,1,2,3,4,5,6,7,8,9},I155&amp;"0123456789")),LEN(I155))&lt;&gt;"",MID(I155,MIN(FIND({0,1,2,3,4,5,6,7,8,9},I155&amp;"0123456789")),LEN(I155)),"0"),"")</f>
        <v>#N/A</v>
      </c>
      <c r="J209" s="32" t="e">
        <f>IF(J$68,IF(MID(J155,MIN(FIND({0,1,2,3,4,5,6,7,8,9},J155&amp;"0123456789")),LEN(J155))&lt;&gt;"",MID(J155,MIN(FIND({0,1,2,3,4,5,6,7,8,9},J155&amp;"0123456789")),LEN(J155)),"0"),"")</f>
        <v>#N/A</v>
      </c>
      <c r="K209" s="32" t="e">
        <f>IF(K$68,IF(MID(K155,MIN(FIND({0,1,2,3,4,5,6,7,8,9},K155&amp;"0123456789")),LEN(K155))&lt;&gt;"",MID(K155,MIN(FIND({0,1,2,3,4,5,6,7,8,9},K155&amp;"0123456789")),LEN(K155)),"0"),"")</f>
        <v>#N/A</v>
      </c>
      <c r="L209" s="32" t="e">
        <f>IF(L$68,IF(MID(L155,MIN(FIND({0,1,2,3,4,5,6,7,8,9},L155&amp;"0123456789")),LEN(L155))&lt;&gt;"",MID(L155,MIN(FIND({0,1,2,3,4,5,6,7,8,9},L155&amp;"0123456789")),LEN(L155)),"0"),"")</f>
        <v>#N/A</v>
      </c>
      <c r="M209" s="32" t="e">
        <f>IF(M$68,IF(MID(M155,MIN(FIND({0,1,2,3,4,5,6,7,8,9},M155&amp;"0123456789")),LEN(M155))&lt;&gt;"",MID(M155,MIN(FIND({0,1,2,3,4,5,6,7,8,9},M155&amp;"0123456789")),LEN(M155)),"0"),"")</f>
        <v>#N/A</v>
      </c>
      <c r="N209" s="32" t="e">
        <f>IF(N$68,IF(MID(N155,MIN(FIND({0,1,2,3,4,5,6,7,8,9},N155&amp;"0123456789")),LEN(N155))&lt;&gt;"",MID(N155,MIN(FIND({0,1,2,3,4,5,6,7,8,9},N155&amp;"0123456789")),LEN(N155)),"0"),"")</f>
        <v>#N/A</v>
      </c>
      <c r="O209" s="32" t="e">
        <f>IF(O$68,IF(MID(O155,MIN(FIND({0,1,2,3,4,5,6,7,8,9},O155&amp;"0123456789")),LEN(O155))&lt;&gt;"",MID(O155,MIN(FIND({0,1,2,3,4,5,6,7,8,9},O155&amp;"0123456789")),LEN(O155)),"0"),"")</f>
        <v>#N/A</v>
      </c>
      <c r="P209" s="32" t="e">
        <f>IF(P$68,IF(MID(P155,MIN(FIND({0,1,2,3,4,5,6,7,8,9},P155&amp;"0123456789")),LEN(P155))&lt;&gt;"",MID(P155,MIN(FIND({0,1,2,3,4,5,6,7,8,9},P155&amp;"0123456789")),LEN(P155)),"0"),"")</f>
        <v>#N/A</v>
      </c>
      <c r="Q209" s="32" t="e">
        <f>E209&amp;F209&amp;G209&amp;H209&amp;I209&amp;J209&amp;K209&amp;L209&amp;M209&amp;N209&amp;O209&amp;P209</f>
        <v>#N/A</v>
      </c>
    </row>
    <row r="210" spans="1:27" x14ac:dyDescent="0.55000000000000004">
      <c r="A210" t="str">
        <f t="shared" si="107"/>
        <v>専有追加 (192 CPU コア単位)</v>
      </c>
      <c r="D210">
        <v>1</v>
      </c>
      <c r="E210" t="e">
        <f>IF(E$68,MID($A$207,E156+1,1),"")</f>
        <v>#N/A</v>
      </c>
      <c r="F210" t="e">
        <f t="shared" ref="F210:P210" si="108">IF(F$68,MID($A$207,F156+1,1),"")</f>
        <v>#N/A</v>
      </c>
      <c r="G210" t="e">
        <f t="shared" si="108"/>
        <v>#N/A</v>
      </c>
      <c r="H210" t="e">
        <f t="shared" si="108"/>
        <v>#N/A</v>
      </c>
      <c r="I210" t="e">
        <f t="shared" si="108"/>
        <v>#N/A</v>
      </c>
      <c r="J210" t="e">
        <f t="shared" si="108"/>
        <v>#N/A</v>
      </c>
      <c r="K210" t="e">
        <f t="shared" si="108"/>
        <v>#N/A</v>
      </c>
      <c r="L210" t="e">
        <f t="shared" si="108"/>
        <v>#N/A</v>
      </c>
      <c r="M210" t="e">
        <f t="shared" si="108"/>
        <v>#N/A</v>
      </c>
      <c r="N210" t="e">
        <f t="shared" si="108"/>
        <v>#N/A</v>
      </c>
      <c r="O210" t="e">
        <f t="shared" si="108"/>
        <v>#N/A</v>
      </c>
      <c r="P210" t="e">
        <f t="shared" si="108"/>
        <v>#N/A</v>
      </c>
      <c r="Q210" s="32" t="e">
        <f t="shared" ref="Q210:Q217" si="109">E210&amp;F210&amp;G210&amp;H210&amp;I210&amp;J210&amp;K210&amp;L210&amp;M210&amp;N210&amp;O210&amp;P210</f>
        <v>#N/A</v>
      </c>
    </row>
    <row r="211" spans="1:27" x14ac:dyDescent="0.55000000000000004">
      <c r="A211" t="str">
        <f t="shared" si="107"/>
        <v>共有追加 (310 CPU コア単位)</v>
      </c>
      <c r="D211">
        <v>1</v>
      </c>
      <c r="E211" t="e">
        <f>IF(E$68,MID($A$207,E157+1,1),"")</f>
        <v>#N/A</v>
      </c>
      <c r="F211" t="e">
        <f t="shared" ref="F211:P211" si="110">IF(F$68,MID($A$207,F157+1,1),"")</f>
        <v>#N/A</v>
      </c>
      <c r="G211" t="e">
        <f t="shared" si="110"/>
        <v>#N/A</v>
      </c>
      <c r="H211" t="e">
        <f t="shared" si="110"/>
        <v>#N/A</v>
      </c>
      <c r="I211" t="e">
        <f t="shared" si="110"/>
        <v>#N/A</v>
      </c>
      <c r="J211" t="e">
        <f t="shared" si="110"/>
        <v>#N/A</v>
      </c>
      <c r="K211" t="e">
        <f t="shared" si="110"/>
        <v>#N/A</v>
      </c>
      <c r="L211" t="e">
        <f t="shared" si="110"/>
        <v>#N/A</v>
      </c>
      <c r="M211" t="e">
        <f t="shared" si="110"/>
        <v>#N/A</v>
      </c>
      <c r="N211" t="e">
        <f t="shared" si="110"/>
        <v>#N/A</v>
      </c>
      <c r="O211" t="e">
        <f t="shared" si="110"/>
        <v>#N/A</v>
      </c>
      <c r="P211" t="e">
        <f t="shared" si="110"/>
        <v>#N/A</v>
      </c>
      <c r="Q211" s="32" t="e">
        <f t="shared" si="109"/>
        <v>#N/A</v>
      </c>
    </row>
    <row r="212" spans="1:27" x14ac:dyDescent="0.55000000000000004">
      <c r="A212" t="str">
        <f t="shared" si="107"/>
        <v>計算ノード Fat 追加 (8 CPU コア単位)</v>
      </c>
      <c r="D212">
        <v>1</v>
      </c>
      <c r="E212" t="e">
        <f>IF(E$68,MID($A$207,E158+1,1),"")</f>
        <v>#N/A</v>
      </c>
      <c r="F212" t="e">
        <f>IF(F$68,MID($A$207,F158+1,1),"")</f>
        <v>#N/A</v>
      </c>
      <c r="G212" t="e">
        <f t="shared" ref="G212:P212" si="111">IF(G$68,MID($A$207,G158+1,1),"")</f>
        <v>#N/A</v>
      </c>
      <c r="H212" t="e">
        <f t="shared" si="111"/>
        <v>#N/A</v>
      </c>
      <c r="I212" t="e">
        <f t="shared" si="111"/>
        <v>#N/A</v>
      </c>
      <c r="J212" t="e">
        <f t="shared" si="111"/>
        <v>#N/A</v>
      </c>
      <c r="K212" t="e">
        <f t="shared" si="111"/>
        <v>#N/A</v>
      </c>
      <c r="L212" t="e">
        <f t="shared" si="111"/>
        <v>#N/A</v>
      </c>
      <c r="M212" t="e">
        <f t="shared" si="111"/>
        <v>#N/A</v>
      </c>
      <c r="N212" t="e">
        <f t="shared" si="111"/>
        <v>#N/A</v>
      </c>
      <c r="O212" t="e">
        <f t="shared" si="111"/>
        <v>#N/A</v>
      </c>
      <c r="P212" t="e">
        <f t="shared" si="111"/>
        <v>#N/A</v>
      </c>
      <c r="Q212" s="32" t="e">
        <f t="shared" si="109"/>
        <v>#N/A</v>
      </c>
    </row>
    <row r="213" spans="1:27" x14ac:dyDescent="0.55000000000000004">
      <c r="A213" t="str">
        <f t="shared" si="107"/>
        <v>アクセラレータ V100 追加 (1 GPU 単位)</v>
      </c>
      <c r="D213">
        <v>2</v>
      </c>
      <c r="E213" t="e">
        <f t="shared" ref="E213:P213" si="112">IF(E$68,MID($A$207,INT(E159/62)+1,1)&amp;MID($A$207,MOD(E159,62)+1,1),"")</f>
        <v>#N/A</v>
      </c>
      <c r="F213" t="e">
        <f t="shared" si="112"/>
        <v>#N/A</v>
      </c>
      <c r="G213" t="e">
        <f t="shared" si="112"/>
        <v>#N/A</v>
      </c>
      <c r="H213" t="e">
        <f t="shared" si="112"/>
        <v>#N/A</v>
      </c>
      <c r="I213" t="e">
        <f t="shared" si="112"/>
        <v>#N/A</v>
      </c>
      <c r="J213" t="e">
        <f t="shared" si="112"/>
        <v>#N/A</v>
      </c>
      <c r="K213" t="e">
        <f t="shared" si="112"/>
        <v>#N/A</v>
      </c>
      <c r="L213" t="e">
        <f t="shared" si="112"/>
        <v>#N/A</v>
      </c>
      <c r="M213" t="e">
        <f t="shared" si="112"/>
        <v>#N/A</v>
      </c>
      <c r="N213" t="e">
        <f t="shared" si="112"/>
        <v>#N/A</v>
      </c>
      <c r="O213" t="e">
        <f t="shared" si="112"/>
        <v>#N/A</v>
      </c>
      <c r="P213" t="e">
        <f t="shared" si="112"/>
        <v>#N/A</v>
      </c>
      <c r="Q213" s="32" t="e">
        <f t="shared" si="109"/>
        <v>#N/A</v>
      </c>
    </row>
    <row r="214" spans="1:27" x14ac:dyDescent="0.55000000000000004">
      <c r="A214" t="str">
        <f t="shared" si="107"/>
        <v>アクセラレータ A100 追加 (1 GPU 単位)</v>
      </c>
      <c r="D214">
        <v>2</v>
      </c>
      <c r="E214" t="e">
        <f t="shared" ref="E214:P215" si="113">IF(E$68,MID($A$207,INT(E160/62)+1,1)&amp;MID($A$207,MOD(E160,62)+1,1),"")</f>
        <v>#N/A</v>
      </c>
      <c r="F214" t="e">
        <f t="shared" si="113"/>
        <v>#N/A</v>
      </c>
      <c r="G214" t="e">
        <f t="shared" si="113"/>
        <v>#N/A</v>
      </c>
      <c r="H214" t="e">
        <f t="shared" si="113"/>
        <v>#N/A</v>
      </c>
      <c r="I214" t="e">
        <f t="shared" si="113"/>
        <v>#N/A</v>
      </c>
      <c r="J214" t="e">
        <f t="shared" si="113"/>
        <v>#N/A</v>
      </c>
      <c r="K214" t="e">
        <f t="shared" si="113"/>
        <v>#N/A</v>
      </c>
      <c r="L214" t="e">
        <f t="shared" si="113"/>
        <v>#N/A</v>
      </c>
      <c r="M214" t="e">
        <f t="shared" si="113"/>
        <v>#N/A</v>
      </c>
      <c r="N214" t="e">
        <f t="shared" si="113"/>
        <v>#N/A</v>
      </c>
      <c r="O214" t="e">
        <f t="shared" si="113"/>
        <v>#N/A</v>
      </c>
      <c r="P214" t="e">
        <f t="shared" si="113"/>
        <v>#N/A</v>
      </c>
      <c r="Q214" s="32" t="e">
        <f t="shared" ref="Q214" si="114">E214&amp;F214&amp;G214&amp;H214&amp;I214&amp;J214&amp;K214&amp;L214&amp;M214&amp;N214&amp;O214&amp;P214</f>
        <v>#N/A</v>
      </c>
    </row>
    <row r="215" spans="1:27" x14ac:dyDescent="0.55000000000000004">
      <c r="A215" t="str">
        <f t="shared" si="107"/>
        <v>アクセラレータ H100 追加 (1 GPU 単位)</v>
      </c>
      <c r="D215">
        <v>2</v>
      </c>
      <c r="E215" t="e">
        <f t="shared" si="113"/>
        <v>#N/A</v>
      </c>
      <c r="F215" t="e">
        <f t="shared" si="113"/>
        <v>#N/A</v>
      </c>
      <c r="G215" t="e">
        <f t="shared" si="113"/>
        <v>#N/A</v>
      </c>
      <c r="H215" t="e">
        <f t="shared" si="113"/>
        <v>#N/A</v>
      </c>
      <c r="I215" t="e">
        <f t="shared" si="113"/>
        <v>#N/A</v>
      </c>
      <c r="J215" t="e">
        <f t="shared" si="113"/>
        <v>#N/A</v>
      </c>
      <c r="K215" t="e">
        <f t="shared" si="113"/>
        <v>#N/A</v>
      </c>
      <c r="L215" t="e">
        <f t="shared" si="113"/>
        <v>#N/A</v>
      </c>
      <c r="M215" t="e">
        <f t="shared" si="113"/>
        <v>#N/A</v>
      </c>
      <c r="N215" t="e">
        <f t="shared" si="113"/>
        <v>#N/A</v>
      </c>
      <c r="O215" t="e">
        <f t="shared" si="113"/>
        <v>#N/A</v>
      </c>
      <c r="P215" t="e">
        <f t="shared" si="113"/>
        <v>#N/A</v>
      </c>
      <c r="Q215" s="32" t="e">
        <f t="shared" ref="Q215" si="115">E215&amp;F215&amp;G215&amp;H215&amp;I215&amp;J215&amp;K215&amp;L215&amp;M215&amp;N215&amp;O215&amp;P215</f>
        <v>#N/A</v>
      </c>
    </row>
    <row r="216" spans="1:27" x14ac:dyDescent="0.55000000000000004">
      <c r="A216" t="str">
        <f t="shared" si="107"/>
        <v>ホーム Disk 容量追加 (1 TiB 単位)</v>
      </c>
      <c r="D216">
        <v>3</v>
      </c>
      <c r="E216" s="32" t="e">
        <f t="shared" ref="E216:P216" si="116">IF(E$68,MID($A$207,INT(E162/62^2)+1,1)&amp;MID($A$207,MOD(E162/62,62)+1,1)&amp;MID($A$207,MOD(E162,62)+1,1),"")</f>
        <v>#N/A</v>
      </c>
      <c r="F216" s="32" t="e">
        <f t="shared" si="116"/>
        <v>#N/A</v>
      </c>
      <c r="G216" s="32" t="e">
        <f t="shared" si="116"/>
        <v>#N/A</v>
      </c>
      <c r="H216" s="32" t="e">
        <f t="shared" si="116"/>
        <v>#N/A</v>
      </c>
      <c r="I216" s="32" t="e">
        <f t="shared" si="116"/>
        <v>#N/A</v>
      </c>
      <c r="J216" s="32" t="e">
        <f t="shared" si="116"/>
        <v>#N/A</v>
      </c>
      <c r="K216" s="32" t="e">
        <f t="shared" si="116"/>
        <v>#N/A</v>
      </c>
      <c r="L216" s="32" t="e">
        <f t="shared" si="116"/>
        <v>#N/A</v>
      </c>
      <c r="M216" s="32" t="e">
        <f t="shared" si="116"/>
        <v>#N/A</v>
      </c>
      <c r="N216" s="32" t="e">
        <f t="shared" si="116"/>
        <v>#N/A</v>
      </c>
      <c r="O216" s="32" t="e">
        <f t="shared" si="116"/>
        <v>#N/A</v>
      </c>
      <c r="P216" s="32" t="e">
        <f t="shared" si="116"/>
        <v>#N/A</v>
      </c>
      <c r="Q216" s="32" t="e">
        <f t="shared" si="109"/>
        <v>#N/A</v>
      </c>
    </row>
    <row r="217" spans="1:27" x14ac:dyDescent="0.55000000000000004">
      <c r="A217" t="str">
        <f t="shared" si="107"/>
        <v>アーカイブ Disk 追加 (1 TiB 単位)</v>
      </c>
      <c r="D217">
        <v>3</v>
      </c>
      <c r="E217" s="32" t="e">
        <f t="shared" ref="E217:P217" si="117">IF(E$68,MID($A$207,INT(E163/62^2)+1,1)&amp;MID($A$207,MOD(E163/62,62)+1,1)&amp;MID($A$207,MOD(E163,62)+1,1),"")</f>
        <v>#N/A</v>
      </c>
      <c r="F217" s="32" t="e">
        <f t="shared" si="117"/>
        <v>#N/A</v>
      </c>
      <c r="G217" s="32" t="e">
        <f t="shared" si="117"/>
        <v>#N/A</v>
      </c>
      <c r="H217" s="32" t="e">
        <f t="shared" si="117"/>
        <v>#N/A</v>
      </c>
      <c r="I217" s="32" t="e">
        <f t="shared" si="117"/>
        <v>#N/A</v>
      </c>
      <c r="J217" s="32" t="e">
        <f t="shared" si="117"/>
        <v>#N/A</v>
      </c>
      <c r="K217" s="32" t="e">
        <f t="shared" si="117"/>
        <v>#N/A</v>
      </c>
      <c r="L217" s="32" t="e">
        <f t="shared" si="117"/>
        <v>#N/A</v>
      </c>
      <c r="M217" s="32" t="e">
        <f t="shared" si="117"/>
        <v>#N/A</v>
      </c>
      <c r="N217" s="32" t="e">
        <f t="shared" si="117"/>
        <v>#N/A</v>
      </c>
      <c r="O217" s="32" t="e">
        <f t="shared" si="117"/>
        <v>#N/A</v>
      </c>
      <c r="P217" s="32" t="e">
        <f t="shared" si="117"/>
        <v>#N/A</v>
      </c>
      <c r="Q217" s="32" t="e">
        <f t="shared" si="109"/>
        <v>#N/A</v>
      </c>
    </row>
    <row r="218" spans="1:27" x14ac:dyDescent="0.55000000000000004">
      <c r="A218" t="str">
        <f t="shared" si="107"/>
        <v>サポートポイント【SP】</v>
      </c>
      <c r="D218">
        <v>2</v>
      </c>
      <c r="E218" s="32" t="e">
        <f>IF(E$68,MID($A$207,INT(E164/62)+1,1)&amp;MID($A$207,MOD(E164,62)+1,1),"")</f>
        <v>#N/A</v>
      </c>
      <c r="F218" s="32" t="e">
        <f t="shared" ref="F218:P218" si="118">IF(F$68,MID($A$207,INT(F164/62)+1,1)&amp;MID($A$207,MOD(F164,62)+1,1),"")</f>
        <v>#N/A</v>
      </c>
      <c r="G218" s="32" t="e">
        <f t="shared" si="118"/>
        <v>#N/A</v>
      </c>
      <c r="H218" s="32" t="e">
        <f t="shared" si="118"/>
        <v>#N/A</v>
      </c>
      <c r="I218" s="32" t="e">
        <f t="shared" si="118"/>
        <v>#N/A</v>
      </c>
      <c r="J218" s="32" t="e">
        <f t="shared" si="118"/>
        <v>#N/A</v>
      </c>
      <c r="K218" s="32" t="e">
        <f t="shared" si="118"/>
        <v>#N/A</v>
      </c>
      <c r="L218" s="32" t="e">
        <f t="shared" si="118"/>
        <v>#N/A</v>
      </c>
      <c r="M218" s="32" t="e">
        <f t="shared" si="118"/>
        <v>#N/A</v>
      </c>
      <c r="N218" s="32" t="e">
        <f t="shared" si="118"/>
        <v>#N/A</v>
      </c>
      <c r="O218" s="32" t="e">
        <f t="shared" si="118"/>
        <v>#N/A</v>
      </c>
      <c r="P218" s="32" t="e">
        <f t="shared" si="118"/>
        <v>#N/A</v>
      </c>
      <c r="Q218" s="32" t="e">
        <f>E218&amp;F218&amp;G218&amp;H218&amp;I218&amp;J218&amp;K218&amp;L218&amp;M218&amp;N218&amp;O218&amp;P218</f>
        <v>#N/A</v>
      </c>
    </row>
    <row r="219" spans="1:27" x14ac:dyDescent="0.55000000000000004">
      <c r="D219">
        <f>SUM(D210:D218)</f>
        <v>17</v>
      </c>
      <c r="E219" t="e">
        <f>IF(E68,DEC2HEX(E67)&amp;E209&amp;E210&amp;E211&amp;E212&amp;E213&amp;E214&amp;E215&amp;E216&amp;E217&amp;E218,"")</f>
        <v>#N/A</v>
      </c>
      <c r="F219" t="e">
        <f>IF(F68,DEC2HEX(F67)&amp;F209&amp;F210&amp;F211&amp;F212&amp;F213&amp;F214&amp;F215&amp;F216&amp;F217&amp;F218,"")</f>
        <v>#N/A</v>
      </c>
      <c r="G219" t="e">
        <f>IF(G68,DEC2HEX(G67)&amp;G209&amp;G210&amp;G211&amp;G212&amp;G213&amp;G214&amp;G215&amp;G216&amp;G217&amp;G218,"")</f>
        <v>#N/A</v>
      </c>
      <c r="H219" t="e">
        <f t="shared" ref="H219:L219" si="119">IF(H68,DEC2HEX(H67)&amp;H209&amp;H210&amp;H211&amp;H212&amp;H213&amp;H214&amp;H216&amp;H217&amp;H218,"")</f>
        <v>#N/A</v>
      </c>
      <c r="I219" t="e">
        <f t="shared" si="119"/>
        <v>#N/A</v>
      </c>
      <c r="J219" t="e">
        <f t="shared" si="119"/>
        <v>#N/A</v>
      </c>
      <c r="K219" t="e">
        <f t="shared" si="119"/>
        <v>#N/A</v>
      </c>
      <c r="L219" t="e">
        <f t="shared" si="119"/>
        <v>#N/A</v>
      </c>
      <c r="M219" t="e">
        <f>IF(M68,DEC2HEX(M67)&amp;M209&amp;M210&amp;M211&amp;M212&amp;M213&amp;M214&amp;M216&amp;M217&amp;M218,"")</f>
        <v>#N/A</v>
      </c>
      <c r="N219" t="e">
        <f t="shared" ref="N219:P219" si="120">IF(N68,DEC2HEX(N67)&amp;N209&amp;N210&amp;N211&amp;N212&amp;N213&amp;N216&amp;N217&amp;N218,"")</f>
        <v>#N/A</v>
      </c>
      <c r="O219" t="e">
        <f t="shared" si="120"/>
        <v>#N/A</v>
      </c>
      <c r="P219" t="e">
        <f t="shared" si="120"/>
        <v>#N/A</v>
      </c>
      <c r="Q219" s="32" t="e">
        <f>Q208&amp;"."&amp;Q209&amp;Q210&amp;Q211&amp;Q212&amp;Q213&amp;Q214&amp;Q215&amp;Q216&amp;Q217&amp;Q218</f>
        <v>#N/A</v>
      </c>
    </row>
    <row r="220" spans="1:27" x14ac:dyDescent="0.55000000000000004">
      <c r="E220" s="32"/>
      <c r="P220" t="e">
        <f>LEN(Q220)</f>
        <v>#N/A</v>
      </c>
      <c r="Q220" s="32" t="e">
        <f>D209&amp;B34&amp;Q219</f>
        <v>#N/A</v>
      </c>
    </row>
    <row r="221" spans="1:27" x14ac:dyDescent="0.55000000000000004">
      <c r="A221" t="s">
        <v>123</v>
      </c>
      <c r="D221" t="s">
        <v>122</v>
      </c>
      <c r="E221" s="32"/>
      <c r="F221" t="e">
        <f>A221&amp;'Application sheet'!K45&amp;D221&amp;"?q="&amp;'Application sheet'!K45&amp;$AA$224&amp;F344</f>
        <v>#N/A</v>
      </c>
      <c r="Q221" s="32">
        <v>0</v>
      </c>
      <c r="R221">
        <v>1</v>
      </c>
      <c r="S221">
        <v>2</v>
      </c>
      <c r="V221" s="32">
        <f>Q221</f>
        <v>0</v>
      </c>
      <c r="W221" s="32">
        <f t="shared" ref="W221:X221" si="121">R221</f>
        <v>1</v>
      </c>
      <c r="X221" s="32">
        <f t="shared" si="121"/>
        <v>2</v>
      </c>
    </row>
    <row r="222" spans="1:27" x14ac:dyDescent="0.55000000000000004">
      <c r="A222">
        <v>1</v>
      </c>
      <c r="B222">
        <v>0</v>
      </c>
      <c r="C222">
        <v>16</v>
      </c>
      <c r="D222" t="str">
        <f>REPT(B222,C222)</f>
        <v>0000000000000000</v>
      </c>
      <c r="E222" t="str">
        <f t="shared" ref="E222:E235" si="122">MID(A$207,A222,1)</f>
        <v>0</v>
      </c>
      <c r="F222" t="e">
        <f>SUBSTITUTE(Q220,D222,"."&amp;MID(A$207,A222,1))</f>
        <v>#N/A</v>
      </c>
      <c r="P222">
        <v>1</v>
      </c>
      <c r="Q222" t="e">
        <f>IF($P222+Q$221*100&lt;=$P$220,MID($Q$220,$P222+Q$221*100,1),"")</f>
        <v>#N/A</v>
      </c>
      <c r="R222" t="e">
        <f>IF($P222+R$221*100&lt;=$P$220,MID($Q$220,$P222+R$221*100,1),"")</f>
        <v>#N/A</v>
      </c>
      <c r="S222" t="e">
        <f>IF($P222+S$221*100&lt;=$P$220,MID($Q$220,$P222+S$221*100,1),"")</f>
        <v>#N/A</v>
      </c>
      <c r="V222" t="e">
        <f>IF($P222+Q$221*100&lt;=$P$220,CODE(Q222)*($P222+Q$221*100),"")</f>
        <v>#N/A</v>
      </c>
      <c r="W222" t="e">
        <f>IF($P222+R$221*100&lt;=$P$220,CODE(R222)*($P222+R$221*100),"")</f>
        <v>#N/A</v>
      </c>
      <c r="X222" t="e">
        <f>IF($P222+S$221*100&lt;=$P$220,CODE(S222)*($P222+S$221*100),"")</f>
        <v>#N/A</v>
      </c>
      <c r="AA222" t="e">
        <f>SUM(V222:X321)</f>
        <v>#N/A</v>
      </c>
    </row>
    <row r="223" spans="1:27" x14ac:dyDescent="0.55000000000000004">
      <c r="A223">
        <v>2</v>
      </c>
      <c r="B223">
        <v>0</v>
      </c>
      <c r="C223">
        <v>12</v>
      </c>
      <c r="D223" t="str">
        <f t="shared" ref="D223:D283" si="123">REPT(B223,C223)</f>
        <v>000000000000</v>
      </c>
      <c r="E223" t="str">
        <f t="shared" si="122"/>
        <v>1</v>
      </c>
      <c r="F223" t="e">
        <f t="shared" ref="F223:F232" si="124">SUBSTITUTE(F222,D223,"."&amp;MID(A$207,A223,1))</f>
        <v>#N/A</v>
      </c>
      <c r="P223">
        <v>2</v>
      </c>
      <c r="Q223" t="e">
        <f t="shared" ref="Q223:S254" si="125">IF($P223+Q$221*100&lt;=$P$220,MID($Q$220,$P223+Q$221*100,1),"")</f>
        <v>#N/A</v>
      </c>
      <c r="R223" t="e">
        <f t="shared" ref="R223:S237" si="126">IF($P223+R$221*100&lt;=$P$220,MID($Q$220,$P223+R$221*100,1),"")</f>
        <v>#N/A</v>
      </c>
      <c r="S223" t="e">
        <f t="shared" si="126"/>
        <v>#N/A</v>
      </c>
      <c r="V223" t="e">
        <f>IF($P223+Q$221*100&lt;=$P$220,CODE(Q223)*($P223+Q$221*100),"")</f>
        <v>#N/A</v>
      </c>
      <c r="W223" t="e">
        <f t="shared" ref="W223:W286" si="127">IF($P223+R$221*100&lt;=$P$220,CODE(R223)*($P223+R$221*100),"")</f>
        <v>#N/A</v>
      </c>
      <c r="X223" t="e">
        <f t="shared" ref="X223:X286" si="128">IF($P223+S$221*100&lt;=$P$220,CODE(S223)*($P223+S$221*100),"")</f>
        <v>#N/A</v>
      </c>
      <c r="AA223" t="e">
        <f>DEC2HEX(AA222)</f>
        <v>#N/A</v>
      </c>
    </row>
    <row r="224" spans="1:27" x14ac:dyDescent="0.55000000000000004">
      <c r="A224">
        <v>3</v>
      </c>
      <c r="B224">
        <v>0</v>
      </c>
      <c r="C224">
        <v>8</v>
      </c>
      <c r="D224" t="str">
        <f t="shared" si="123"/>
        <v>00000000</v>
      </c>
      <c r="E224" t="str">
        <f t="shared" si="122"/>
        <v>2</v>
      </c>
      <c r="F224" t="e">
        <f t="shared" si="124"/>
        <v>#N/A</v>
      </c>
      <c r="P224">
        <v>3</v>
      </c>
      <c r="Q224" t="e">
        <f t="shared" si="125"/>
        <v>#N/A</v>
      </c>
      <c r="R224" t="e">
        <f t="shared" si="126"/>
        <v>#N/A</v>
      </c>
      <c r="S224" t="e">
        <f t="shared" si="126"/>
        <v>#N/A</v>
      </c>
      <c r="V224" t="e">
        <f t="shared" ref="V224:V286" si="129">IF($P224+Q$221*100&lt;=$P$220,CODE(Q224)*($P224+Q$221*100),"")</f>
        <v>#N/A</v>
      </c>
      <c r="W224" t="e">
        <f t="shared" si="127"/>
        <v>#N/A</v>
      </c>
      <c r="X224" t="e">
        <f t="shared" si="128"/>
        <v>#N/A</v>
      </c>
      <c r="AA224" t="e">
        <f>LOWER(RIGHT("0000"&amp;AA223,4))</f>
        <v>#N/A</v>
      </c>
    </row>
    <row r="225" spans="1:24" x14ac:dyDescent="0.55000000000000004">
      <c r="A225">
        <v>4</v>
      </c>
      <c r="B225">
        <v>0</v>
      </c>
      <c r="C225">
        <v>4</v>
      </c>
      <c r="D225" t="str">
        <f t="shared" si="123"/>
        <v>0000</v>
      </c>
      <c r="E225" t="str">
        <f t="shared" si="122"/>
        <v>3</v>
      </c>
      <c r="F225" t="e">
        <f t="shared" si="124"/>
        <v>#N/A</v>
      </c>
      <c r="P225">
        <v>4</v>
      </c>
      <c r="Q225" t="e">
        <f t="shared" si="125"/>
        <v>#N/A</v>
      </c>
      <c r="R225" t="e">
        <f t="shared" si="126"/>
        <v>#N/A</v>
      </c>
      <c r="S225" t="e">
        <f t="shared" si="126"/>
        <v>#N/A</v>
      </c>
      <c r="V225" t="e">
        <f t="shared" si="129"/>
        <v>#N/A</v>
      </c>
      <c r="W225" t="e">
        <f t="shared" si="127"/>
        <v>#N/A</v>
      </c>
      <c r="X225" t="e">
        <f t="shared" si="128"/>
        <v>#N/A</v>
      </c>
    </row>
    <row r="226" spans="1:24" x14ac:dyDescent="0.55000000000000004">
      <c r="A226">
        <v>5</v>
      </c>
      <c r="B226">
        <v>0</v>
      </c>
      <c r="C226">
        <v>3</v>
      </c>
      <c r="D226" t="str">
        <f t="shared" si="123"/>
        <v>000</v>
      </c>
      <c r="E226" t="str">
        <f>MID(A$207,A226,1)</f>
        <v>4</v>
      </c>
      <c r="F226" t="e">
        <f t="shared" si="124"/>
        <v>#N/A</v>
      </c>
      <c r="P226">
        <v>5</v>
      </c>
      <c r="Q226" t="e">
        <f t="shared" si="125"/>
        <v>#N/A</v>
      </c>
      <c r="R226" t="e">
        <f t="shared" si="126"/>
        <v>#N/A</v>
      </c>
      <c r="S226" t="e">
        <f t="shared" si="126"/>
        <v>#N/A</v>
      </c>
      <c r="V226" t="e">
        <f t="shared" si="129"/>
        <v>#N/A</v>
      </c>
      <c r="W226" t="e">
        <f t="shared" si="127"/>
        <v>#N/A</v>
      </c>
      <c r="X226" t="e">
        <f t="shared" si="128"/>
        <v>#N/A</v>
      </c>
    </row>
    <row r="227" spans="1:24" x14ac:dyDescent="0.55000000000000004">
      <c r="A227">
        <v>6</v>
      </c>
      <c r="B227">
        <v>1</v>
      </c>
      <c r="C227">
        <v>12</v>
      </c>
      <c r="D227" t="str">
        <f t="shared" si="123"/>
        <v>111111111111</v>
      </c>
      <c r="E227" t="str">
        <f t="shared" si="122"/>
        <v>5</v>
      </c>
      <c r="F227" t="e">
        <f t="shared" si="124"/>
        <v>#N/A</v>
      </c>
      <c r="P227">
        <v>6</v>
      </c>
      <c r="Q227" t="e">
        <f t="shared" si="125"/>
        <v>#N/A</v>
      </c>
      <c r="R227" t="e">
        <f t="shared" si="126"/>
        <v>#N/A</v>
      </c>
      <c r="S227" t="e">
        <f t="shared" si="126"/>
        <v>#N/A</v>
      </c>
      <c r="V227" t="e">
        <f t="shared" si="129"/>
        <v>#N/A</v>
      </c>
      <c r="W227" t="e">
        <f t="shared" si="127"/>
        <v>#N/A</v>
      </c>
      <c r="X227" t="e">
        <f t="shared" si="128"/>
        <v>#N/A</v>
      </c>
    </row>
    <row r="228" spans="1:24" x14ac:dyDescent="0.55000000000000004">
      <c r="A228">
        <v>7</v>
      </c>
      <c r="B228">
        <v>1</v>
      </c>
      <c r="C228">
        <v>8</v>
      </c>
      <c r="D228" t="str">
        <f t="shared" si="123"/>
        <v>11111111</v>
      </c>
      <c r="E228" t="str">
        <f t="shared" si="122"/>
        <v>6</v>
      </c>
      <c r="F228" t="e">
        <f t="shared" si="124"/>
        <v>#N/A</v>
      </c>
      <c r="P228">
        <v>7</v>
      </c>
      <c r="Q228" t="e">
        <f t="shared" si="125"/>
        <v>#N/A</v>
      </c>
      <c r="R228" t="e">
        <f t="shared" si="126"/>
        <v>#N/A</v>
      </c>
      <c r="S228" t="e">
        <f t="shared" si="126"/>
        <v>#N/A</v>
      </c>
      <c r="V228" t="e">
        <f t="shared" si="129"/>
        <v>#N/A</v>
      </c>
      <c r="W228" t="e">
        <f t="shared" si="127"/>
        <v>#N/A</v>
      </c>
      <c r="X228" t="e">
        <f t="shared" si="128"/>
        <v>#N/A</v>
      </c>
    </row>
    <row r="229" spans="1:24" x14ac:dyDescent="0.55000000000000004">
      <c r="A229">
        <v>8</v>
      </c>
      <c r="B229">
        <v>1</v>
      </c>
      <c r="C229">
        <v>3</v>
      </c>
      <c r="D229" t="str">
        <f t="shared" si="123"/>
        <v>111</v>
      </c>
      <c r="E229" t="str">
        <f t="shared" si="122"/>
        <v>7</v>
      </c>
      <c r="F229" t="e">
        <f t="shared" si="124"/>
        <v>#N/A</v>
      </c>
      <c r="P229">
        <v>8</v>
      </c>
      <c r="Q229" t="e">
        <f t="shared" si="125"/>
        <v>#N/A</v>
      </c>
      <c r="R229" t="e">
        <f t="shared" si="126"/>
        <v>#N/A</v>
      </c>
      <c r="S229" t="e">
        <f t="shared" si="126"/>
        <v>#N/A</v>
      </c>
      <c r="V229" t="e">
        <f t="shared" si="129"/>
        <v>#N/A</v>
      </c>
      <c r="W229" t="e">
        <f t="shared" si="127"/>
        <v>#N/A</v>
      </c>
      <c r="X229" t="e">
        <f t="shared" si="128"/>
        <v>#N/A</v>
      </c>
    </row>
    <row r="230" spans="1:24" x14ac:dyDescent="0.55000000000000004">
      <c r="A230">
        <v>9</v>
      </c>
      <c r="B230">
        <v>2</v>
      </c>
      <c r="C230">
        <v>12</v>
      </c>
      <c r="D230" t="str">
        <f t="shared" si="123"/>
        <v>222222222222</v>
      </c>
      <c r="E230" t="str">
        <f t="shared" si="122"/>
        <v>8</v>
      </c>
      <c r="F230" t="e">
        <f t="shared" si="124"/>
        <v>#N/A</v>
      </c>
      <c r="P230">
        <v>9</v>
      </c>
      <c r="Q230" t="e">
        <f t="shared" si="125"/>
        <v>#N/A</v>
      </c>
      <c r="R230" t="e">
        <f t="shared" si="126"/>
        <v>#N/A</v>
      </c>
      <c r="S230" t="e">
        <f t="shared" si="126"/>
        <v>#N/A</v>
      </c>
      <c r="V230" t="e">
        <f t="shared" si="129"/>
        <v>#N/A</v>
      </c>
      <c r="W230" t="e">
        <f t="shared" si="127"/>
        <v>#N/A</v>
      </c>
      <c r="X230" t="e">
        <f t="shared" si="128"/>
        <v>#N/A</v>
      </c>
    </row>
    <row r="231" spans="1:24" x14ac:dyDescent="0.55000000000000004">
      <c r="A231">
        <v>10</v>
      </c>
      <c r="B231">
        <v>2</v>
      </c>
      <c r="C231">
        <v>8</v>
      </c>
      <c r="D231" t="str">
        <f t="shared" si="123"/>
        <v>22222222</v>
      </c>
      <c r="E231" t="str">
        <f t="shared" si="122"/>
        <v>9</v>
      </c>
      <c r="F231" t="e">
        <f t="shared" si="124"/>
        <v>#N/A</v>
      </c>
      <c r="P231">
        <v>10</v>
      </c>
      <c r="Q231" t="e">
        <f t="shared" si="125"/>
        <v>#N/A</v>
      </c>
      <c r="R231" t="e">
        <f t="shared" si="126"/>
        <v>#N/A</v>
      </c>
      <c r="S231" t="e">
        <f t="shared" si="126"/>
        <v>#N/A</v>
      </c>
      <c r="V231" t="e">
        <f t="shared" si="129"/>
        <v>#N/A</v>
      </c>
      <c r="W231" t="e">
        <f t="shared" si="127"/>
        <v>#N/A</v>
      </c>
      <c r="X231" t="e">
        <f t="shared" si="128"/>
        <v>#N/A</v>
      </c>
    </row>
    <row r="232" spans="1:24" x14ac:dyDescent="0.55000000000000004">
      <c r="A232">
        <v>11</v>
      </c>
      <c r="B232">
        <v>2</v>
      </c>
      <c r="C232">
        <v>3</v>
      </c>
      <c r="D232" t="str">
        <f t="shared" si="123"/>
        <v>222</v>
      </c>
      <c r="E232" t="str">
        <f t="shared" si="122"/>
        <v>a</v>
      </c>
      <c r="F232" t="e">
        <f t="shared" si="124"/>
        <v>#N/A</v>
      </c>
      <c r="P232">
        <v>11</v>
      </c>
      <c r="Q232" t="e">
        <f t="shared" si="125"/>
        <v>#N/A</v>
      </c>
      <c r="R232" t="e">
        <f t="shared" si="126"/>
        <v>#N/A</v>
      </c>
      <c r="S232" t="e">
        <f t="shared" si="126"/>
        <v>#N/A</v>
      </c>
      <c r="V232" t="e">
        <f t="shared" si="129"/>
        <v>#N/A</v>
      </c>
      <c r="W232" t="e">
        <f t="shared" si="127"/>
        <v>#N/A</v>
      </c>
      <c r="X232" t="e">
        <f t="shared" si="128"/>
        <v>#N/A</v>
      </c>
    </row>
    <row r="233" spans="1:24" x14ac:dyDescent="0.55000000000000004">
      <c r="A233">
        <v>12</v>
      </c>
      <c r="B233">
        <v>3</v>
      </c>
      <c r="C233">
        <v>12</v>
      </c>
      <c r="D233" t="str">
        <f t="shared" si="123"/>
        <v>333333333333</v>
      </c>
      <c r="E233" t="str">
        <f t="shared" si="122"/>
        <v>b</v>
      </c>
      <c r="F233" t="e">
        <f t="shared" ref="F233:F280" si="130">SUBSTITUTE(F232,D233,"."&amp;MID(A$207,A233,1))</f>
        <v>#N/A</v>
      </c>
      <c r="P233">
        <v>12</v>
      </c>
      <c r="Q233" t="e">
        <f t="shared" si="125"/>
        <v>#N/A</v>
      </c>
      <c r="R233" t="e">
        <f t="shared" si="126"/>
        <v>#N/A</v>
      </c>
      <c r="S233" t="e">
        <f t="shared" si="126"/>
        <v>#N/A</v>
      </c>
      <c r="V233" t="e">
        <f t="shared" si="129"/>
        <v>#N/A</v>
      </c>
      <c r="W233" t="e">
        <f t="shared" si="127"/>
        <v>#N/A</v>
      </c>
      <c r="X233" t="e">
        <f t="shared" si="128"/>
        <v>#N/A</v>
      </c>
    </row>
    <row r="234" spans="1:24" x14ac:dyDescent="0.55000000000000004">
      <c r="A234">
        <v>13</v>
      </c>
      <c r="B234">
        <v>3</v>
      </c>
      <c r="C234">
        <v>8</v>
      </c>
      <c r="D234" t="str">
        <f t="shared" si="123"/>
        <v>33333333</v>
      </c>
      <c r="E234" t="str">
        <f t="shared" si="122"/>
        <v>c</v>
      </c>
      <c r="F234" t="e">
        <f t="shared" si="130"/>
        <v>#N/A</v>
      </c>
      <c r="P234">
        <v>13</v>
      </c>
      <c r="Q234" t="e">
        <f t="shared" si="125"/>
        <v>#N/A</v>
      </c>
      <c r="R234" t="e">
        <f t="shared" si="126"/>
        <v>#N/A</v>
      </c>
      <c r="S234" t="e">
        <f t="shared" si="126"/>
        <v>#N/A</v>
      </c>
      <c r="V234" t="e">
        <f t="shared" si="129"/>
        <v>#N/A</v>
      </c>
      <c r="W234" t="e">
        <f t="shared" si="127"/>
        <v>#N/A</v>
      </c>
      <c r="X234" t="e">
        <f t="shared" si="128"/>
        <v>#N/A</v>
      </c>
    </row>
    <row r="235" spans="1:24" x14ac:dyDescent="0.55000000000000004">
      <c r="A235">
        <v>14</v>
      </c>
      <c r="B235">
        <v>3</v>
      </c>
      <c r="C235">
        <v>3</v>
      </c>
      <c r="D235" t="str">
        <f t="shared" si="123"/>
        <v>333</v>
      </c>
      <c r="E235" t="str">
        <f t="shared" si="122"/>
        <v>d</v>
      </c>
      <c r="F235" t="e">
        <f t="shared" si="130"/>
        <v>#N/A</v>
      </c>
      <c r="P235">
        <v>14</v>
      </c>
      <c r="Q235" t="e">
        <f t="shared" si="125"/>
        <v>#N/A</v>
      </c>
      <c r="R235" t="e">
        <f t="shared" si="126"/>
        <v>#N/A</v>
      </c>
      <c r="S235" t="e">
        <f t="shared" si="126"/>
        <v>#N/A</v>
      </c>
      <c r="V235" t="e">
        <f t="shared" si="129"/>
        <v>#N/A</v>
      </c>
      <c r="W235" t="e">
        <f t="shared" si="127"/>
        <v>#N/A</v>
      </c>
      <c r="X235" t="e">
        <f t="shared" si="128"/>
        <v>#N/A</v>
      </c>
    </row>
    <row r="236" spans="1:24" x14ac:dyDescent="0.55000000000000004">
      <c r="A236">
        <v>15</v>
      </c>
      <c r="B236">
        <v>4</v>
      </c>
      <c r="C236">
        <v>12</v>
      </c>
      <c r="D236" t="str">
        <f t="shared" si="123"/>
        <v>444444444444</v>
      </c>
      <c r="E236" t="str">
        <f t="shared" ref="E236:E283" si="131">MID(A$207,A236,1)</f>
        <v>e</v>
      </c>
      <c r="F236" t="e">
        <f t="shared" si="130"/>
        <v>#N/A</v>
      </c>
      <c r="P236">
        <v>15</v>
      </c>
      <c r="Q236" t="e">
        <f t="shared" si="125"/>
        <v>#N/A</v>
      </c>
      <c r="R236" t="e">
        <f t="shared" si="126"/>
        <v>#N/A</v>
      </c>
      <c r="S236" t="e">
        <f t="shared" si="126"/>
        <v>#N/A</v>
      </c>
      <c r="V236" t="e">
        <f t="shared" si="129"/>
        <v>#N/A</v>
      </c>
      <c r="W236" t="e">
        <f t="shared" si="127"/>
        <v>#N/A</v>
      </c>
      <c r="X236" t="e">
        <f t="shared" si="128"/>
        <v>#N/A</v>
      </c>
    </row>
    <row r="237" spans="1:24" x14ac:dyDescent="0.55000000000000004">
      <c r="A237">
        <v>16</v>
      </c>
      <c r="B237">
        <v>4</v>
      </c>
      <c r="C237">
        <v>8</v>
      </c>
      <c r="D237" t="str">
        <f t="shared" si="123"/>
        <v>44444444</v>
      </c>
      <c r="E237" t="str">
        <f t="shared" si="131"/>
        <v>f</v>
      </c>
      <c r="F237" t="e">
        <f t="shared" si="130"/>
        <v>#N/A</v>
      </c>
      <c r="P237">
        <v>16</v>
      </c>
      <c r="Q237" t="e">
        <f t="shared" si="125"/>
        <v>#N/A</v>
      </c>
      <c r="R237" t="e">
        <f t="shared" si="126"/>
        <v>#N/A</v>
      </c>
      <c r="S237" t="e">
        <f t="shared" si="126"/>
        <v>#N/A</v>
      </c>
      <c r="V237" t="e">
        <f t="shared" si="129"/>
        <v>#N/A</v>
      </c>
      <c r="W237" t="e">
        <f t="shared" si="127"/>
        <v>#N/A</v>
      </c>
      <c r="X237" t="e">
        <f t="shared" si="128"/>
        <v>#N/A</v>
      </c>
    </row>
    <row r="238" spans="1:24" x14ac:dyDescent="0.55000000000000004">
      <c r="A238">
        <v>17</v>
      </c>
      <c r="B238">
        <v>4</v>
      </c>
      <c r="C238">
        <v>3</v>
      </c>
      <c r="D238" t="str">
        <f t="shared" si="123"/>
        <v>444</v>
      </c>
      <c r="E238" t="str">
        <f t="shared" si="131"/>
        <v>g</v>
      </c>
      <c r="F238" t="e">
        <f t="shared" si="130"/>
        <v>#N/A</v>
      </c>
      <c r="P238">
        <v>17</v>
      </c>
      <c r="Q238" t="e">
        <f t="shared" si="125"/>
        <v>#N/A</v>
      </c>
      <c r="R238" t="e">
        <f t="shared" si="125"/>
        <v>#N/A</v>
      </c>
      <c r="S238" t="e">
        <f t="shared" si="125"/>
        <v>#N/A</v>
      </c>
      <c r="V238" t="e">
        <f t="shared" si="129"/>
        <v>#N/A</v>
      </c>
      <c r="W238" t="e">
        <f t="shared" si="127"/>
        <v>#N/A</v>
      </c>
      <c r="X238" t="e">
        <f t="shared" si="128"/>
        <v>#N/A</v>
      </c>
    </row>
    <row r="239" spans="1:24" x14ac:dyDescent="0.55000000000000004">
      <c r="A239">
        <v>18</v>
      </c>
      <c r="B239">
        <v>5</v>
      </c>
      <c r="C239">
        <v>12</v>
      </c>
      <c r="D239" t="str">
        <f t="shared" si="123"/>
        <v>555555555555</v>
      </c>
      <c r="E239" t="str">
        <f t="shared" si="131"/>
        <v>h</v>
      </c>
      <c r="F239" t="e">
        <f t="shared" si="130"/>
        <v>#N/A</v>
      </c>
      <c r="P239">
        <v>18</v>
      </c>
      <c r="Q239" t="e">
        <f t="shared" si="125"/>
        <v>#N/A</v>
      </c>
      <c r="R239" t="e">
        <f t="shared" si="125"/>
        <v>#N/A</v>
      </c>
      <c r="S239" t="e">
        <f t="shared" si="125"/>
        <v>#N/A</v>
      </c>
      <c r="V239" t="e">
        <f t="shared" si="129"/>
        <v>#N/A</v>
      </c>
      <c r="W239" t="e">
        <f t="shared" si="127"/>
        <v>#N/A</v>
      </c>
      <c r="X239" t="e">
        <f t="shared" si="128"/>
        <v>#N/A</v>
      </c>
    </row>
    <row r="240" spans="1:24" x14ac:dyDescent="0.55000000000000004">
      <c r="A240">
        <v>19</v>
      </c>
      <c r="B240">
        <v>5</v>
      </c>
      <c r="C240">
        <v>8</v>
      </c>
      <c r="D240" t="str">
        <f t="shared" si="123"/>
        <v>55555555</v>
      </c>
      <c r="E240" t="str">
        <f t="shared" si="131"/>
        <v>i</v>
      </c>
      <c r="F240" t="e">
        <f t="shared" si="130"/>
        <v>#N/A</v>
      </c>
      <c r="P240">
        <v>19</v>
      </c>
      <c r="Q240" t="e">
        <f t="shared" si="125"/>
        <v>#N/A</v>
      </c>
      <c r="R240" t="e">
        <f t="shared" si="125"/>
        <v>#N/A</v>
      </c>
      <c r="S240" t="e">
        <f t="shared" si="125"/>
        <v>#N/A</v>
      </c>
      <c r="V240" t="e">
        <f t="shared" si="129"/>
        <v>#N/A</v>
      </c>
      <c r="W240" t="e">
        <f t="shared" si="127"/>
        <v>#N/A</v>
      </c>
      <c r="X240" t="e">
        <f t="shared" si="128"/>
        <v>#N/A</v>
      </c>
    </row>
    <row r="241" spans="1:24" x14ac:dyDescent="0.55000000000000004">
      <c r="A241">
        <v>20</v>
      </c>
      <c r="B241">
        <v>5</v>
      </c>
      <c r="C241">
        <v>3</v>
      </c>
      <c r="D241" t="str">
        <f t="shared" si="123"/>
        <v>555</v>
      </c>
      <c r="E241" t="str">
        <f t="shared" si="131"/>
        <v>j</v>
      </c>
      <c r="F241" t="e">
        <f t="shared" si="130"/>
        <v>#N/A</v>
      </c>
      <c r="P241">
        <v>20</v>
      </c>
      <c r="Q241" t="e">
        <f t="shared" si="125"/>
        <v>#N/A</v>
      </c>
      <c r="R241" t="e">
        <f t="shared" si="125"/>
        <v>#N/A</v>
      </c>
      <c r="S241" t="e">
        <f t="shared" si="125"/>
        <v>#N/A</v>
      </c>
      <c r="V241" t="e">
        <f t="shared" si="129"/>
        <v>#N/A</v>
      </c>
      <c r="W241" t="e">
        <f t="shared" si="127"/>
        <v>#N/A</v>
      </c>
      <c r="X241" t="e">
        <f t="shared" si="128"/>
        <v>#N/A</v>
      </c>
    </row>
    <row r="242" spans="1:24" x14ac:dyDescent="0.55000000000000004">
      <c r="A242">
        <v>21</v>
      </c>
      <c r="B242">
        <v>6</v>
      </c>
      <c r="C242">
        <v>12</v>
      </c>
      <c r="D242" t="str">
        <f t="shared" si="123"/>
        <v>666666666666</v>
      </c>
      <c r="E242" t="str">
        <f t="shared" si="131"/>
        <v>k</v>
      </c>
      <c r="F242" t="e">
        <f t="shared" si="130"/>
        <v>#N/A</v>
      </c>
      <c r="P242">
        <v>21</v>
      </c>
      <c r="Q242" t="e">
        <f t="shared" si="125"/>
        <v>#N/A</v>
      </c>
      <c r="R242" t="e">
        <f t="shared" si="125"/>
        <v>#N/A</v>
      </c>
      <c r="S242" t="e">
        <f t="shared" si="125"/>
        <v>#N/A</v>
      </c>
      <c r="V242" t="e">
        <f t="shared" si="129"/>
        <v>#N/A</v>
      </c>
      <c r="W242" t="e">
        <f t="shared" si="127"/>
        <v>#N/A</v>
      </c>
      <c r="X242" t="e">
        <f t="shared" si="128"/>
        <v>#N/A</v>
      </c>
    </row>
    <row r="243" spans="1:24" x14ac:dyDescent="0.55000000000000004">
      <c r="A243">
        <v>22</v>
      </c>
      <c r="B243">
        <v>6</v>
      </c>
      <c r="C243">
        <v>8</v>
      </c>
      <c r="D243" t="str">
        <f t="shared" si="123"/>
        <v>66666666</v>
      </c>
      <c r="E243" t="str">
        <f t="shared" si="131"/>
        <v>l</v>
      </c>
      <c r="F243" t="e">
        <f t="shared" si="130"/>
        <v>#N/A</v>
      </c>
      <c r="P243">
        <v>22</v>
      </c>
      <c r="Q243" t="e">
        <f t="shared" si="125"/>
        <v>#N/A</v>
      </c>
      <c r="R243" t="e">
        <f t="shared" si="125"/>
        <v>#N/A</v>
      </c>
      <c r="S243" t="e">
        <f t="shared" si="125"/>
        <v>#N/A</v>
      </c>
      <c r="V243" t="e">
        <f t="shared" si="129"/>
        <v>#N/A</v>
      </c>
      <c r="W243" t="e">
        <f t="shared" si="127"/>
        <v>#N/A</v>
      </c>
      <c r="X243" t="e">
        <f t="shared" si="128"/>
        <v>#N/A</v>
      </c>
    </row>
    <row r="244" spans="1:24" x14ac:dyDescent="0.55000000000000004">
      <c r="A244">
        <v>23</v>
      </c>
      <c r="B244">
        <v>6</v>
      </c>
      <c r="C244">
        <v>3</v>
      </c>
      <c r="D244" t="str">
        <f t="shared" si="123"/>
        <v>666</v>
      </c>
      <c r="E244" t="str">
        <f t="shared" si="131"/>
        <v>m</v>
      </c>
      <c r="F244" t="e">
        <f t="shared" si="130"/>
        <v>#N/A</v>
      </c>
      <c r="P244">
        <v>23</v>
      </c>
      <c r="Q244" t="e">
        <f t="shared" si="125"/>
        <v>#N/A</v>
      </c>
      <c r="R244" t="e">
        <f t="shared" si="125"/>
        <v>#N/A</v>
      </c>
      <c r="S244" t="e">
        <f t="shared" si="125"/>
        <v>#N/A</v>
      </c>
      <c r="V244" t="e">
        <f t="shared" si="129"/>
        <v>#N/A</v>
      </c>
      <c r="W244" t="e">
        <f t="shared" si="127"/>
        <v>#N/A</v>
      </c>
      <c r="X244" t="e">
        <f t="shared" si="128"/>
        <v>#N/A</v>
      </c>
    </row>
    <row r="245" spans="1:24" x14ac:dyDescent="0.55000000000000004">
      <c r="A245">
        <v>24</v>
      </c>
      <c r="B245">
        <v>7</v>
      </c>
      <c r="C245">
        <v>12</v>
      </c>
      <c r="D245" t="str">
        <f t="shared" si="123"/>
        <v>777777777777</v>
      </c>
      <c r="E245" t="str">
        <f t="shared" si="131"/>
        <v>n</v>
      </c>
      <c r="F245" t="e">
        <f t="shared" si="130"/>
        <v>#N/A</v>
      </c>
      <c r="P245">
        <v>24</v>
      </c>
      <c r="Q245" t="e">
        <f t="shared" si="125"/>
        <v>#N/A</v>
      </c>
      <c r="R245" t="e">
        <f t="shared" si="125"/>
        <v>#N/A</v>
      </c>
      <c r="S245" t="e">
        <f t="shared" si="125"/>
        <v>#N/A</v>
      </c>
      <c r="V245" t="e">
        <f t="shared" si="129"/>
        <v>#N/A</v>
      </c>
      <c r="W245" t="e">
        <f t="shared" si="127"/>
        <v>#N/A</v>
      </c>
      <c r="X245" t="e">
        <f t="shared" si="128"/>
        <v>#N/A</v>
      </c>
    </row>
    <row r="246" spans="1:24" x14ac:dyDescent="0.55000000000000004">
      <c r="A246">
        <v>25</v>
      </c>
      <c r="B246">
        <v>7</v>
      </c>
      <c r="C246">
        <v>8</v>
      </c>
      <c r="D246" t="str">
        <f t="shared" si="123"/>
        <v>77777777</v>
      </c>
      <c r="E246" t="str">
        <f t="shared" si="131"/>
        <v>o</v>
      </c>
      <c r="F246" t="e">
        <f t="shared" si="130"/>
        <v>#N/A</v>
      </c>
      <c r="P246">
        <v>25</v>
      </c>
      <c r="Q246" t="e">
        <f t="shared" si="125"/>
        <v>#N/A</v>
      </c>
      <c r="R246" t="e">
        <f t="shared" si="125"/>
        <v>#N/A</v>
      </c>
      <c r="S246" t="e">
        <f t="shared" si="125"/>
        <v>#N/A</v>
      </c>
      <c r="V246" t="e">
        <f t="shared" si="129"/>
        <v>#N/A</v>
      </c>
      <c r="W246" t="e">
        <f t="shared" si="127"/>
        <v>#N/A</v>
      </c>
      <c r="X246" t="e">
        <f t="shared" si="128"/>
        <v>#N/A</v>
      </c>
    </row>
    <row r="247" spans="1:24" x14ac:dyDescent="0.55000000000000004">
      <c r="A247">
        <v>26</v>
      </c>
      <c r="B247">
        <v>7</v>
      </c>
      <c r="C247">
        <v>3</v>
      </c>
      <c r="D247" t="str">
        <f t="shared" si="123"/>
        <v>777</v>
      </c>
      <c r="E247" t="str">
        <f t="shared" si="131"/>
        <v>p</v>
      </c>
      <c r="F247" t="e">
        <f t="shared" si="130"/>
        <v>#N/A</v>
      </c>
      <c r="P247">
        <v>26</v>
      </c>
      <c r="Q247" t="e">
        <f t="shared" si="125"/>
        <v>#N/A</v>
      </c>
      <c r="R247" t="e">
        <f t="shared" si="125"/>
        <v>#N/A</v>
      </c>
      <c r="S247" t="e">
        <f t="shared" si="125"/>
        <v>#N/A</v>
      </c>
      <c r="V247" t="e">
        <f t="shared" si="129"/>
        <v>#N/A</v>
      </c>
      <c r="W247" t="e">
        <f t="shared" si="127"/>
        <v>#N/A</v>
      </c>
      <c r="X247" t="e">
        <f t="shared" si="128"/>
        <v>#N/A</v>
      </c>
    </row>
    <row r="248" spans="1:24" x14ac:dyDescent="0.55000000000000004">
      <c r="A248">
        <v>27</v>
      </c>
      <c r="B248">
        <v>8</v>
      </c>
      <c r="C248">
        <v>12</v>
      </c>
      <c r="D248" t="str">
        <f t="shared" si="123"/>
        <v>888888888888</v>
      </c>
      <c r="E248" t="str">
        <f t="shared" si="131"/>
        <v>q</v>
      </c>
      <c r="F248" t="e">
        <f t="shared" si="130"/>
        <v>#N/A</v>
      </c>
      <c r="P248">
        <v>27</v>
      </c>
      <c r="Q248" t="e">
        <f t="shared" si="125"/>
        <v>#N/A</v>
      </c>
      <c r="R248" t="e">
        <f t="shared" si="125"/>
        <v>#N/A</v>
      </c>
      <c r="S248" t="e">
        <f t="shared" si="125"/>
        <v>#N/A</v>
      </c>
      <c r="V248" t="e">
        <f t="shared" si="129"/>
        <v>#N/A</v>
      </c>
      <c r="W248" t="e">
        <f t="shared" si="127"/>
        <v>#N/A</v>
      </c>
      <c r="X248" t="e">
        <f t="shared" si="128"/>
        <v>#N/A</v>
      </c>
    </row>
    <row r="249" spans="1:24" x14ac:dyDescent="0.55000000000000004">
      <c r="A249">
        <v>28</v>
      </c>
      <c r="B249">
        <v>8</v>
      </c>
      <c r="C249">
        <v>8</v>
      </c>
      <c r="D249" t="str">
        <f t="shared" si="123"/>
        <v>88888888</v>
      </c>
      <c r="E249" t="str">
        <f t="shared" si="131"/>
        <v>r</v>
      </c>
      <c r="F249" t="e">
        <f t="shared" si="130"/>
        <v>#N/A</v>
      </c>
      <c r="P249">
        <v>28</v>
      </c>
      <c r="Q249" t="e">
        <f t="shared" si="125"/>
        <v>#N/A</v>
      </c>
      <c r="R249" t="e">
        <f t="shared" si="125"/>
        <v>#N/A</v>
      </c>
      <c r="S249" t="e">
        <f t="shared" si="125"/>
        <v>#N/A</v>
      </c>
      <c r="V249" t="e">
        <f t="shared" si="129"/>
        <v>#N/A</v>
      </c>
      <c r="W249" t="e">
        <f t="shared" si="127"/>
        <v>#N/A</v>
      </c>
      <c r="X249" t="e">
        <f t="shared" si="128"/>
        <v>#N/A</v>
      </c>
    </row>
    <row r="250" spans="1:24" x14ac:dyDescent="0.55000000000000004">
      <c r="A250">
        <v>29</v>
      </c>
      <c r="B250">
        <v>8</v>
      </c>
      <c r="C250">
        <v>3</v>
      </c>
      <c r="D250" t="str">
        <f t="shared" si="123"/>
        <v>888</v>
      </c>
      <c r="E250" t="str">
        <f t="shared" si="131"/>
        <v>s</v>
      </c>
      <c r="F250" t="e">
        <f t="shared" si="130"/>
        <v>#N/A</v>
      </c>
      <c r="P250">
        <v>29</v>
      </c>
      <c r="Q250" t="e">
        <f t="shared" si="125"/>
        <v>#N/A</v>
      </c>
      <c r="R250" t="e">
        <f t="shared" si="125"/>
        <v>#N/A</v>
      </c>
      <c r="S250" t="e">
        <f t="shared" si="125"/>
        <v>#N/A</v>
      </c>
      <c r="V250" t="e">
        <f t="shared" si="129"/>
        <v>#N/A</v>
      </c>
      <c r="W250" t="e">
        <f t="shared" si="127"/>
        <v>#N/A</v>
      </c>
      <c r="X250" t="e">
        <f t="shared" si="128"/>
        <v>#N/A</v>
      </c>
    </row>
    <row r="251" spans="1:24" x14ac:dyDescent="0.55000000000000004">
      <c r="A251">
        <v>30</v>
      </c>
      <c r="B251">
        <v>9</v>
      </c>
      <c r="C251">
        <v>12</v>
      </c>
      <c r="D251" t="str">
        <f t="shared" si="123"/>
        <v>999999999999</v>
      </c>
      <c r="E251" t="str">
        <f t="shared" si="131"/>
        <v>t</v>
      </c>
      <c r="F251" t="e">
        <f t="shared" si="130"/>
        <v>#N/A</v>
      </c>
      <c r="P251">
        <v>30</v>
      </c>
      <c r="Q251" t="e">
        <f t="shared" si="125"/>
        <v>#N/A</v>
      </c>
      <c r="R251" t="e">
        <f t="shared" si="125"/>
        <v>#N/A</v>
      </c>
      <c r="S251" t="e">
        <f t="shared" si="125"/>
        <v>#N/A</v>
      </c>
      <c r="V251" t="e">
        <f t="shared" si="129"/>
        <v>#N/A</v>
      </c>
      <c r="W251" t="e">
        <f t="shared" si="127"/>
        <v>#N/A</v>
      </c>
      <c r="X251" t="e">
        <f t="shared" si="128"/>
        <v>#N/A</v>
      </c>
    </row>
    <row r="252" spans="1:24" x14ac:dyDescent="0.55000000000000004">
      <c r="A252">
        <v>31</v>
      </c>
      <c r="B252">
        <v>9</v>
      </c>
      <c r="C252">
        <v>8</v>
      </c>
      <c r="D252" t="str">
        <f t="shared" si="123"/>
        <v>99999999</v>
      </c>
      <c r="E252" t="str">
        <f t="shared" si="131"/>
        <v>u</v>
      </c>
      <c r="F252" t="e">
        <f t="shared" si="130"/>
        <v>#N/A</v>
      </c>
      <c r="P252">
        <v>31</v>
      </c>
      <c r="Q252" t="e">
        <f t="shared" si="125"/>
        <v>#N/A</v>
      </c>
      <c r="R252" t="e">
        <f t="shared" si="125"/>
        <v>#N/A</v>
      </c>
      <c r="S252" t="e">
        <f t="shared" si="125"/>
        <v>#N/A</v>
      </c>
      <c r="V252" t="e">
        <f t="shared" si="129"/>
        <v>#N/A</v>
      </c>
      <c r="W252" t="e">
        <f t="shared" si="127"/>
        <v>#N/A</v>
      </c>
      <c r="X252" t="e">
        <f t="shared" si="128"/>
        <v>#N/A</v>
      </c>
    </row>
    <row r="253" spans="1:24" x14ac:dyDescent="0.55000000000000004">
      <c r="A253">
        <v>32</v>
      </c>
      <c r="B253">
        <v>9</v>
      </c>
      <c r="C253">
        <v>3</v>
      </c>
      <c r="D253" t="str">
        <f t="shared" si="123"/>
        <v>999</v>
      </c>
      <c r="E253" t="str">
        <f t="shared" si="131"/>
        <v>v</v>
      </c>
      <c r="F253" t="e">
        <f t="shared" si="130"/>
        <v>#N/A</v>
      </c>
      <c r="P253">
        <v>32</v>
      </c>
      <c r="Q253" t="e">
        <f t="shared" si="125"/>
        <v>#N/A</v>
      </c>
      <c r="R253" t="e">
        <f t="shared" si="125"/>
        <v>#N/A</v>
      </c>
      <c r="S253" t="e">
        <f t="shared" si="125"/>
        <v>#N/A</v>
      </c>
      <c r="V253" t="e">
        <f t="shared" si="129"/>
        <v>#N/A</v>
      </c>
      <c r="W253" t="e">
        <f t="shared" si="127"/>
        <v>#N/A</v>
      </c>
      <c r="X253" t="e">
        <f t="shared" si="128"/>
        <v>#N/A</v>
      </c>
    </row>
    <row r="254" spans="1:24" x14ac:dyDescent="0.55000000000000004">
      <c r="A254">
        <v>33</v>
      </c>
      <c r="B254" t="s">
        <v>97</v>
      </c>
      <c r="C254">
        <v>12</v>
      </c>
      <c r="D254" t="str">
        <f t="shared" si="123"/>
        <v>aaaaaaaaaaaa</v>
      </c>
      <c r="E254" t="str">
        <f t="shared" si="131"/>
        <v>w</v>
      </c>
      <c r="F254" t="e">
        <f t="shared" si="130"/>
        <v>#N/A</v>
      </c>
      <c r="P254">
        <v>33</v>
      </c>
      <c r="Q254" t="e">
        <f t="shared" si="125"/>
        <v>#N/A</v>
      </c>
      <c r="R254" t="e">
        <f t="shared" si="125"/>
        <v>#N/A</v>
      </c>
      <c r="S254" t="e">
        <f t="shared" si="125"/>
        <v>#N/A</v>
      </c>
      <c r="V254" t="e">
        <f t="shared" si="129"/>
        <v>#N/A</v>
      </c>
      <c r="W254" t="e">
        <f t="shared" si="127"/>
        <v>#N/A</v>
      </c>
      <c r="X254" t="e">
        <f t="shared" si="128"/>
        <v>#N/A</v>
      </c>
    </row>
    <row r="255" spans="1:24" x14ac:dyDescent="0.55000000000000004">
      <c r="A255">
        <v>34</v>
      </c>
      <c r="B255" t="s">
        <v>98</v>
      </c>
      <c r="C255">
        <v>8</v>
      </c>
      <c r="D255" t="str">
        <f t="shared" si="123"/>
        <v>aaaaaaaa</v>
      </c>
      <c r="E255" t="str">
        <f t="shared" si="131"/>
        <v>x</v>
      </c>
      <c r="F255" t="e">
        <f t="shared" si="130"/>
        <v>#N/A</v>
      </c>
      <c r="P255">
        <v>34</v>
      </c>
      <c r="Q255" t="e">
        <f t="shared" ref="Q255:S286" si="132">IF($P255+Q$221*100&lt;=$P$220,MID($Q$220,$P255+Q$221*100,1),"")</f>
        <v>#N/A</v>
      </c>
      <c r="R255" t="e">
        <f t="shared" si="132"/>
        <v>#N/A</v>
      </c>
      <c r="S255" t="e">
        <f t="shared" si="132"/>
        <v>#N/A</v>
      </c>
      <c r="V255" t="e">
        <f t="shared" si="129"/>
        <v>#N/A</v>
      </c>
      <c r="W255" t="e">
        <f t="shared" si="127"/>
        <v>#N/A</v>
      </c>
      <c r="X255" t="e">
        <f t="shared" si="128"/>
        <v>#N/A</v>
      </c>
    </row>
    <row r="256" spans="1:24" x14ac:dyDescent="0.55000000000000004">
      <c r="A256">
        <v>35</v>
      </c>
      <c r="B256" t="s">
        <v>97</v>
      </c>
      <c r="C256">
        <v>3</v>
      </c>
      <c r="D256" t="str">
        <f t="shared" si="123"/>
        <v>aaa</v>
      </c>
      <c r="E256" t="str">
        <f t="shared" si="131"/>
        <v>y</v>
      </c>
      <c r="F256" t="e">
        <f t="shared" si="130"/>
        <v>#N/A</v>
      </c>
      <c r="P256">
        <v>35</v>
      </c>
      <c r="Q256" t="e">
        <f t="shared" si="132"/>
        <v>#N/A</v>
      </c>
      <c r="R256" t="e">
        <f t="shared" si="132"/>
        <v>#N/A</v>
      </c>
      <c r="S256" t="e">
        <f t="shared" si="132"/>
        <v>#N/A</v>
      </c>
      <c r="V256" t="e">
        <f t="shared" si="129"/>
        <v>#N/A</v>
      </c>
      <c r="W256" t="e">
        <f t="shared" si="127"/>
        <v>#N/A</v>
      </c>
      <c r="X256" t="e">
        <f t="shared" si="128"/>
        <v>#N/A</v>
      </c>
    </row>
    <row r="257" spans="1:24" x14ac:dyDescent="0.55000000000000004">
      <c r="A257">
        <v>36</v>
      </c>
      <c r="B257" t="s">
        <v>99</v>
      </c>
      <c r="C257">
        <v>12</v>
      </c>
      <c r="D257" t="str">
        <f t="shared" si="123"/>
        <v>bbbbbbbbbbbb</v>
      </c>
      <c r="E257" t="str">
        <f t="shared" si="131"/>
        <v>z</v>
      </c>
      <c r="F257" t="e">
        <f t="shared" si="130"/>
        <v>#N/A</v>
      </c>
      <c r="P257">
        <v>36</v>
      </c>
      <c r="Q257" t="e">
        <f t="shared" si="132"/>
        <v>#N/A</v>
      </c>
      <c r="R257" t="e">
        <f t="shared" si="132"/>
        <v>#N/A</v>
      </c>
      <c r="S257" t="e">
        <f t="shared" si="132"/>
        <v>#N/A</v>
      </c>
      <c r="V257" t="e">
        <f t="shared" si="129"/>
        <v>#N/A</v>
      </c>
      <c r="W257" t="e">
        <f t="shared" si="127"/>
        <v>#N/A</v>
      </c>
      <c r="X257" t="e">
        <f t="shared" si="128"/>
        <v>#N/A</v>
      </c>
    </row>
    <row r="258" spans="1:24" x14ac:dyDescent="0.55000000000000004">
      <c r="A258">
        <v>37</v>
      </c>
      <c r="B258" t="s">
        <v>100</v>
      </c>
      <c r="C258">
        <v>8</v>
      </c>
      <c r="D258" t="str">
        <f t="shared" si="123"/>
        <v>bbbbbbbb</v>
      </c>
      <c r="E258" t="str">
        <f t="shared" si="131"/>
        <v>A</v>
      </c>
      <c r="F258" t="e">
        <f t="shared" si="130"/>
        <v>#N/A</v>
      </c>
      <c r="P258">
        <v>37</v>
      </c>
      <c r="Q258" t="e">
        <f t="shared" si="132"/>
        <v>#N/A</v>
      </c>
      <c r="R258" t="e">
        <f t="shared" si="132"/>
        <v>#N/A</v>
      </c>
      <c r="S258" t="e">
        <f t="shared" si="132"/>
        <v>#N/A</v>
      </c>
      <c r="V258" t="e">
        <f t="shared" si="129"/>
        <v>#N/A</v>
      </c>
      <c r="W258" t="e">
        <f t="shared" si="127"/>
        <v>#N/A</v>
      </c>
      <c r="X258" t="e">
        <f t="shared" si="128"/>
        <v>#N/A</v>
      </c>
    </row>
    <row r="259" spans="1:24" x14ac:dyDescent="0.55000000000000004">
      <c r="A259">
        <v>38</v>
      </c>
      <c r="B259" t="s">
        <v>99</v>
      </c>
      <c r="C259">
        <v>3</v>
      </c>
      <c r="D259" t="str">
        <f t="shared" si="123"/>
        <v>bbb</v>
      </c>
      <c r="E259" t="str">
        <f t="shared" si="131"/>
        <v>B</v>
      </c>
      <c r="F259" t="e">
        <f t="shared" si="130"/>
        <v>#N/A</v>
      </c>
      <c r="P259">
        <v>38</v>
      </c>
      <c r="Q259" t="e">
        <f t="shared" si="132"/>
        <v>#N/A</v>
      </c>
      <c r="R259" t="e">
        <f t="shared" si="132"/>
        <v>#N/A</v>
      </c>
      <c r="S259" t="e">
        <f t="shared" si="132"/>
        <v>#N/A</v>
      </c>
      <c r="V259" t="e">
        <f t="shared" si="129"/>
        <v>#N/A</v>
      </c>
      <c r="W259" t="e">
        <f t="shared" si="127"/>
        <v>#N/A</v>
      </c>
      <c r="X259" t="e">
        <f t="shared" si="128"/>
        <v>#N/A</v>
      </c>
    </row>
    <row r="260" spans="1:24" x14ac:dyDescent="0.55000000000000004">
      <c r="A260">
        <v>39</v>
      </c>
      <c r="B260" t="s">
        <v>101</v>
      </c>
      <c r="C260">
        <v>12</v>
      </c>
      <c r="D260" t="str">
        <f t="shared" si="123"/>
        <v>cccccccccccc</v>
      </c>
      <c r="E260" t="str">
        <f t="shared" si="131"/>
        <v>C</v>
      </c>
      <c r="F260" t="e">
        <f t="shared" si="130"/>
        <v>#N/A</v>
      </c>
      <c r="P260">
        <v>39</v>
      </c>
      <c r="Q260" t="e">
        <f t="shared" si="132"/>
        <v>#N/A</v>
      </c>
      <c r="R260" t="e">
        <f t="shared" si="132"/>
        <v>#N/A</v>
      </c>
      <c r="S260" t="e">
        <f t="shared" si="132"/>
        <v>#N/A</v>
      </c>
      <c r="V260" t="e">
        <f t="shared" si="129"/>
        <v>#N/A</v>
      </c>
      <c r="W260" t="e">
        <f t="shared" si="127"/>
        <v>#N/A</v>
      </c>
      <c r="X260" t="e">
        <f t="shared" si="128"/>
        <v>#N/A</v>
      </c>
    </row>
    <row r="261" spans="1:24" x14ac:dyDescent="0.55000000000000004">
      <c r="A261">
        <v>40</v>
      </c>
      <c r="B261" t="s">
        <v>102</v>
      </c>
      <c r="C261">
        <v>8</v>
      </c>
      <c r="D261" t="str">
        <f t="shared" si="123"/>
        <v>cccccccc</v>
      </c>
      <c r="E261" t="str">
        <f t="shared" si="131"/>
        <v>D</v>
      </c>
      <c r="F261" t="e">
        <f t="shared" si="130"/>
        <v>#N/A</v>
      </c>
      <c r="P261">
        <v>40</v>
      </c>
      <c r="Q261" t="e">
        <f t="shared" si="132"/>
        <v>#N/A</v>
      </c>
      <c r="R261" t="e">
        <f t="shared" si="132"/>
        <v>#N/A</v>
      </c>
      <c r="S261" t="e">
        <f t="shared" si="132"/>
        <v>#N/A</v>
      </c>
      <c r="V261" t="e">
        <f t="shared" si="129"/>
        <v>#N/A</v>
      </c>
      <c r="W261" t="e">
        <f t="shared" si="127"/>
        <v>#N/A</v>
      </c>
      <c r="X261" t="e">
        <f t="shared" si="128"/>
        <v>#N/A</v>
      </c>
    </row>
    <row r="262" spans="1:24" x14ac:dyDescent="0.55000000000000004">
      <c r="A262">
        <v>41</v>
      </c>
      <c r="B262" t="s">
        <v>103</v>
      </c>
      <c r="C262">
        <v>3</v>
      </c>
      <c r="D262" t="str">
        <f t="shared" si="123"/>
        <v>ccc</v>
      </c>
      <c r="E262" t="str">
        <f t="shared" si="131"/>
        <v>E</v>
      </c>
      <c r="F262" t="e">
        <f t="shared" si="130"/>
        <v>#N/A</v>
      </c>
      <c r="P262">
        <v>41</v>
      </c>
      <c r="Q262" t="e">
        <f t="shared" si="132"/>
        <v>#N/A</v>
      </c>
      <c r="R262" t="e">
        <f t="shared" si="132"/>
        <v>#N/A</v>
      </c>
      <c r="S262" t="e">
        <f t="shared" si="132"/>
        <v>#N/A</v>
      </c>
      <c r="V262" t="e">
        <f t="shared" si="129"/>
        <v>#N/A</v>
      </c>
      <c r="W262" t="e">
        <f t="shared" si="127"/>
        <v>#N/A</v>
      </c>
      <c r="X262" t="e">
        <f t="shared" si="128"/>
        <v>#N/A</v>
      </c>
    </row>
    <row r="263" spans="1:24" x14ac:dyDescent="0.55000000000000004">
      <c r="A263">
        <v>42</v>
      </c>
      <c r="B263" t="s">
        <v>104</v>
      </c>
      <c r="C263">
        <v>12</v>
      </c>
      <c r="D263" t="str">
        <f t="shared" si="123"/>
        <v>dddddddddddd</v>
      </c>
      <c r="E263" t="str">
        <f t="shared" si="131"/>
        <v>F</v>
      </c>
      <c r="F263" t="e">
        <f t="shared" si="130"/>
        <v>#N/A</v>
      </c>
      <c r="P263">
        <v>42</v>
      </c>
      <c r="Q263" t="e">
        <f t="shared" si="132"/>
        <v>#N/A</v>
      </c>
      <c r="R263" t="e">
        <f t="shared" si="132"/>
        <v>#N/A</v>
      </c>
      <c r="S263" t="e">
        <f t="shared" si="132"/>
        <v>#N/A</v>
      </c>
      <c r="V263" t="e">
        <f t="shared" si="129"/>
        <v>#N/A</v>
      </c>
      <c r="W263" t="e">
        <f t="shared" si="127"/>
        <v>#N/A</v>
      </c>
      <c r="X263" t="e">
        <f t="shared" si="128"/>
        <v>#N/A</v>
      </c>
    </row>
    <row r="264" spans="1:24" x14ac:dyDescent="0.55000000000000004">
      <c r="A264">
        <v>43</v>
      </c>
      <c r="B264" t="s">
        <v>105</v>
      </c>
      <c r="C264">
        <v>8</v>
      </c>
      <c r="D264" t="str">
        <f t="shared" si="123"/>
        <v>dddddddd</v>
      </c>
      <c r="E264" t="str">
        <f t="shared" si="131"/>
        <v>G</v>
      </c>
      <c r="F264" t="e">
        <f t="shared" si="130"/>
        <v>#N/A</v>
      </c>
      <c r="P264">
        <v>43</v>
      </c>
      <c r="Q264" t="e">
        <f t="shared" si="132"/>
        <v>#N/A</v>
      </c>
      <c r="R264" t="e">
        <f t="shared" si="132"/>
        <v>#N/A</v>
      </c>
      <c r="S264" t="e">
        <f t="shared" si="132"/>
        <v>#N/A</v>
      </c>
      <c r="V264" t="e">
        <f t="shared" si="129"/>
        <v>#N/A</v>
      </c>
      <c r="W264" t="e">
        <f t="shared" si="127"/>
        <v>#N/A</v>
      </c>
      <c r="X264" t="e">
        <f t="shared" si="128"/>
        <v>#N/A</v>
      </c>
    </row>
    <row r="265" spans="1:24" x14ac:dyDescent="0.55000000000000004">
      <c r="A265">
        <v>44</v>
      </c>
      <c r="B265" t="s">
        <v>106</v>
      </c>
      <c r="C265">
        <v>3</v>
      </c>
      <c r="D265" t="str">
        <f t="shared" si="123"/>
        <v>ddd</v>
      </c>
      <c r="E265" t="str">
        <f t="shared" si="131"/>
        <v>H</v>
      </c>
      <c r="F265" t="e">
        <f t="shared" si="130"/>
        <v>#N/A</v>
      </c>
      <c r="P265">
        <v>44</v>
      </c>
      <c r="Q265" t="e">
        <f t="shared" si="132"/>
        <v>#N/A</v>
      </c>
      <c r="R265" t="e">
        <f t="shared" si="132"/>
        <v>#N/A</v>
      </c>
      <c r="S265" t="e">
        <f t="shared" si="132"/>
        <v>#N/A</v>
      </c>
      <c r="V265" t="e">
        <f t="shared" si="129"/>
        <v>#N/A</v>
      </c>
      <c r="W265" t="e">
        <f t="shared" si="127"/>
        <v>#N/A</v>
      </c>
      <c r="X265" t="e">
        <f t="shared" si="128"/>
        <v>#N/A</v>
      </c>
    </row>
    <row r="266" spans="1:24" x14ac:dyDescent="0.55000000000000004">
      <c r="A266">
        <v>45</v>
      </c>
      <c r="B266" t="s">
        <v>107</v>
      </c>
      <c r="C266">
        <v>12</v>
      </c>
      <c r="D266" t="str">
        <f t="shared" si="123"/>
        <v>eeeeeeeeeeee</v>
      </c>
      <c r="E266" t="str">
        <f t="shared" si="131"/>
        <v>I</v>
      </c>
      <c r="F266" t="e">
        <f t="shared" si="130"/>
        <v>#N/A</v>
      </c>
      <c r="P266">
        <v>45</v>
      </c>
      <c r="Q266" t="e">
        <f t="shared" si="132"/>
        <v>#N/A</v>
      </c>
      <c r="R266" t="e">
        <f t="shared" si="132"/>
        <v>#N/A</v>
      </c>
      <c r="S266" t="e">
        <f t="shared" si="132"/>
        <v>#N/A</v>
      </c>
      <c r="V266" t="e">
        <f t="shared" si="129"/>
        <v>#N/A</v>
      </c>
      <c r="W266" t="e">
        <f t="shared" si="127"/>
        <v>#N/A</v>
      </c>
      <c r="X266" t="e">
        <f t="shared" si="128"/>
        <v>#N/A</v>
      </c>
    </row>
    <row r="267" spans="1:24" x14ac:dyDescent="0.55000000000000004">
      <c r="A267">
        <v>46</v>
      </c>
      <c r="B267" t="s">
        <v>108</v>
      </c>
      <c r="C267">
        <v>8</v>
      </c>
      <c r="D267" t="str">
        <f t="shared" si="123"/>
        <v>eeeeeeee</v>
      </c>
      <c r="E267" t="str">
        <f t="shared" si="131"/>
        <v>J</v>
      </c>
      <c r="F267" t="e">
        <f t="shared" si="130"/>
        <v>#N/A</v>
      </c>
      <c r="P267">
        <v>46</v>
      </c>
      <c r="Q267" t="e">
        <f t="shared" si="132"/>
        <v>#N/A</v>
      </c>
      <c r="R267" t="e">
        <f t="shared" si="132"/>
        <v>#N/A</v>
      </c>
      <c r="S267" t="e">
        <f t="shared" si="132"/>
        <v>#N/A</v>
      </c>
      <c r="V267" t="e">
        <f t="shared" si="129"/>
        <v>#N/A</v>
      </c>
      <c r="W267" t="e">
        <f t="shared" si="127"/>
        <v>#N/A</v>
      </c>
      <c r="X267" t="e">
        <f t="shared" si="128"/>
        <v>#N/A</v>
      </c>
    </row>
    <row r="268" spans="1:24" x14ac:dyDescent="0.55000000000000004">
      <c r="A268">
        <v>47</v>
      </c>
      <c r="B268" t="s">
        <v>109</v>
      </c>
      <c r="C268">
        <v>3</v>
      </c>
      <c r="D268" t="str">
        <f t="shared" si="123"/>
        <v>eee</v>
      </c>
      <c r="E268" t="str">
        <f t="shared" si="131"/>
        <v>K</v>
      </c>
      <c r="F268" t="e">
        <f t="shared" si="130"/>
        <v>#N/A</v>
      </c>
      <c r="P268">
        <v>47</v>
      </c>
      <c r="Q268" t="e">
        <f t="shared" si="132"/>
        <v>#N/A</v>
      </c>
      <c r="R268" t="e">
        <f t="shared" si="132"/>
        <v>#N/A</v>
      </c>
      <c r="S268" t="e">
        <f t="shared" si="132"/>
        <v>#N/A</v>
      </c>
      <c r="V268" t="e">
        <f t="shared" si="129"/>
        <v>#N/A</v>
      </c>
      <c r="W268" t="e">
        <f t="shared" si="127"/>
        <v>#N/A</v>
      </c>
      <c r="X268" t="e">
        <f t="shared" si="128"/>
        <v>#N/A</v>
      </c>
    </row>
    <row r="269" spans="1:24" x14ac:dyDescent="0.55000000000000004">
      <c r="A269">
        <v>48</v>
      </c>
      <c r="B269" t="s">
        <v>110</v>
      </c>
      <c r="C269">
        <v>12</v>
      </c>
      <c r="D269" t="str">
        <f t="shared" si="123"/>
        <v>ffffffffffff</v>
      </c>
      <c r="E269" t="str">
        <f t="shared" si="131"/>
        <v>L</v>
      </c>
      <c r="F269" t="e">
        <f t="shared" si="130"/>
        <v>#N/A</v>
      </c>
      <c r="P269">
        <v>48</v>
      </c>
      <c r="Q269" t="e">
        <f t="shared" si="132"/>
        <v>#N/A</v>
      </c>
      <c r="R269" t="e">
        <f t="shared" si="132"/>
        <v>#N/A</v>
      </c>
      <c r="S269" t="e">
        <f t="shared" si="132"/>
        <v>#N/A</v>
      </c>
      <c r="V269" t="e">
        <f t="shared" si="129"/>
        <v>#N/A</v>
      </c>
      <c r="W269" t="e">
        <f t="shared" si="127"/>
        <v>#N/A</v>
      </c>
      <c r="X269" t="e">
        <f t="shared" si="128"/>
        <v>#N/A</v>
      </c>
    </row>
    <row r="270" spans="1:24" x14ac:dyDescent="0.55000000000000004">
      <c r="A270">
        <v>49</v>
      </c>
      <c r="B270" t="s">
        <v>110</v>
      </c>
      <c r="C270">
        <v>8</v>
      </c>
      <c r="D270" t="str">
        <f t="shared" si="123"/>
        <v>ffffffff</v>
      </c>
      <c r="E270" t="str">
        <f t="shared" si="131"/>
        <v>M</v>
      </c>
      <c r="F270" t="e">
        <f t="shared" si="130"/>
        <v>#N/A</v>
      </c>
      <c r="P270">
        <v>49</v>
      </c>
      <c r="Q270" t="e">
        <f t="shared" si="132"/>
        <v>#N/A</v>
      </c>
      <c r="R270" t="e">
        <f t="shared" si="132"/>
        <v>#N/A</v>
      </c>
      <c r="S270" t="e">
        <f t="shared" si="132"/>
        <v>#N/A</v>
      </c>
      <c r="V270" t="e">
        <f t="shared" si="129"/>
        <v>#N/A</v>
      </c>
      <c r="W270" t="e">
        <f t="shared" si="127"/>
        <v>#N/A</v>
      </c>
      <c r="X270" t="e">
        <f t="shared" si="128"/>
        <v>#N/A</v>
      </c>
    </row>
    <row r="271" spans="1:24" x14ac:dyDescent="0.55000000000000004">
      <c r="A271">
        <v>50</v>
      </c>
      <c r="B271" t="s">
        <v>110</v>
      </c>
      <c r="C271">
        <v>3</v>
      </c>
      <c r="D271" t="str">
        <f t="shared" si="123"/>
        <v>fff</v>
      </c>
      <c r="E271" t="str">
        <f t="shared" si="131"/>
        <v>N</v>
      </c>
      <c r="F271" t="e">
        <f t="shared" si="130"/>
        <v>#N/A</v>
      </c>
      <c r="P271">
        <v>50</v>
      </c>
      <c r="Q271" t="e">
        <f t="shared" si="132"/>
        <v>#N/A</v>
      </c>
      <c r="R271" t="e">
        <f t="shared" si="132"/>
        <v>#N/A</v>
      </c>
      <c r="S271" t="e">
        <f t="shared" si="132"/>
        <v>#N/A</v>
      </c>
      <c r="V271" t="e">
        <f t="shared" si="129"/>
        <v>#N/A</v>
      </c>
      <c r="W271" t="e">
        <f t="shared" si="127"/>
        <v>#N/A</v>
      </c>
      <c r="X271" t="e">
        <f t="shared" si="128"/>
        <v>#N/A</v>
      </c>
    </row>
    <row r="272" spans="1:24" x14ac:dyDescent="0.55000000000000004">
      <c r="A272">
        <v>51</v>
      </c>
      <c r="B272" t="s">
        <v>111</v>
      </c>
      <c r="C272">
        <v>12</v>
      </c>
      <c r="D272" t="str">
        <f t="shared" si="123"/>
        <v>gggggggggggg</v>
      </c>
      <c r="E272" t="str">
        <f t="shared" si="131"/>
        <v>O</v>
      </c>
      <c r="F272" t="e">
        <f t="shared" si="130"/>
        <v>#N/A</v>
      </c>
      <c r="P272">
        <v>51</v>
      </c>
      <c r="Q272" t="e">
        <f t="shared" si="132"/>
        <v>#N/A</v>
      </c>
      <c r="R272" t="e">
        <f t="shared" si="132"/>
        <v>#N/A</v>
      </c>
      <c r="S272" t="e">
        <f t="shared" si="132"/>
        <v>#N/A</v>
      </c>
      <c r="V272" t="e">
        <f t="shared" si="129"/>
        <v>#N/A</v>
      </c>
      <c r="W272" t="e">
        <f t="shared" si="127"/>
        <v>#N/A</v>
      </c>
      <c r="X272" t="e">
        <f t="shared" si="128"/>
        <v>#N/A</v>
      </c>
    </row>
    <row r="273" spans="1:24" x14ac:dyDescent="0.55000000000000004">
      <c r="A273">
        <v>52</v>
      </c>
      <c r="B273" t="s">
        <v>112</v>
      </c>
      <c r="C273">
        <v>8</v>
      </c>
      <c r="D273" t="str">
        <f t="shared" si="123"/>
        <v>gggggggg</v>
      </c>
      <c r="E273" t="str">
        <f t="shared" si="131"/>
        <v>P</v>
      </c>
      <c r="F273" t="e">
        <f t="shared" si="130"/>
        <v>#N/A</v>
      </c>
      <c r="P273">
        <v>52</v>
      </c>
      <c r="Q273" t="e">
        <f t="shared" si="132"/>
        <v>#N/A</v>
      </c>
      <c r="R273" t="e">
        <f t="shared" si="132"/>
        <v>#N/A</v>
      </c>
      <c r="S273" t="e">
        <f t="shared" si="132"/>
        <v>#N/A</v>
      </c>
      <c r="V273" t="e">
        <f t="shared" si="129"/>
        <v>#N/A</v>
      </c>
      <c r="W273" t="e">
        <f t="shared" si="127"/>
        <v>#N/A</v>
      </c>
      <c r="X273" t="e">
        <f t="shared" si="128"/>
        <v>#N/A</v>
      </c>
    </row>
    <row r="274" spans="1:24" x14ac:dyDescent="0.55000000000000004">
      <c r="A274">
        <v>53</v>
      </c>
      <c r="B274" t="s">
        <v>111</v>
      </c>
      <c r="C274">
        <v>3</v>
      </c>
      <c r="D274" t="str">
        <f t="shared" si="123"/>
        <v>ggg</v>
      </c>
      <c r="E274" t="str">
        <f t="shared" si="131"/>
        <v>Q</v>
      </c>
      <c r="F274" t="e">
        <f t="shared" si="130"/>
        <v>#N/A</v>
      </c>
      <c r="P274">
        <v>53</v>
      </c>
      <c r="Q274" t="e">
        <f t="shared" si="132"/>
        <v>#N/A</v>
      </c>
      <c r="R274" t="e">
        <f t="shared" si="132"/>
        <v>#N/A</v>
      </c>
      <c r="S274" t="e">
        <f t="shared" si="132"/>
        <v>#N/A</v>
      </c>
      <c r="V274" t="e">
        <f t="shared" si="129"/>
        <v>#N/A</v>
      </c>
      <c r="W274" t="e">
        <f t="shared" si="127"/>
        <v>#N/A</v>
      </c>
      <c r="X274" t="e">
        <f t="shared" si="128"/>
        <v>#N/A</v>
      </c>
    </row>
    <row r="275" spans="1:24" x14ac:dyDescent="0.55000000000000004">
      <c r="A275">
        <v>54</v>
      </c>
      <c r="B275" t="s">
        <v>113</v>
      </c>
      <c r="C275">
        <v>12</v>
      </c>
      <c r="D275" t="str">
        <f t="shared" si="123"/>
        <v>hhhhhhhhhhhh</v>
      </c>
      <c r="E275" t="str">
        <f t="shared" si="131"/>
        <v>R</v>
      </c>
      <c r="F275" t="e">
        <f t="shared" si="130"/>
        <v>#N/A</v>
      </c>
      <c r="P275">
        <v>54</v>
      </c>
      <c r="Q275" t="e">
        <f t="shared" si="132"/>
        <v>#N/A</v>
      </c>
      <c r="R275" t="e">
        <f t="shared" si="132"/>
        <v>#N/A</v>
      </c>
      <c r="S275" t="e">
        <f t="shared" si="132"/>
        <v>#N/A</v>
      </c>
      <c r="V275" t="e">
        <f t="shared" si="129"/>
        <v>#N/A</v>
      </c>
      <c r="W275" t="e">
        <f t="shared" si="127"/>
        <v>#N/A</v>
      </c>
      <c r="X275" t="e">
        <f t="shared" si="128"/>
        <v>#N/A</v>
      </c>
    </row>
    <row r="276" spans="1:24" x14ac:dyDescent="0.55000000000000004">
      <c r="A276">
        <v>55</v>
      </c>
      <c r="B276" t="s">
        <v>114</v>
      </c>
      <c r="C276">
        <v>8</v>
      </c>
      <c r="D276" t="str">
        <f t="shared" si="123"/>
        <v>hhhhhhhh</v>
      </c>
      <c r="E276" t="str">
        <f t="shared" si="131"/>
        <v>S</v>
      </c>
      <c r="F276" t="e">
        <f t="shared" si="130"/>
        <v>#N/A</v>
      </c>
      <c r="P276">
        <v>55</v>
      </c>
      <c r="Q276" t="e">
        <f t="shared" si="132"/>
        <v>#N/A</v>
      </c>
      <c r="R276" t="e">
        <f t="shared" si="132"/>
        <v>#N/A</v>
      </c>
      <c r="S276" t="e">
        <f t="shared" si="132"/>
        <v>#N/A</v>
      </c>
      <c r="V276" t="e">
        <f t="shared" si="129"/>
        <v>#N/A</v>
      </c>
      <c r="W276" t="e">
        <f t="shared" si="127"/>
        <v>#N/A</v>
      </c>
      <c r="X276" t="e">
        <f t="shared" si="128"/>
        <v>#N/A</v>
      </c>
    </row>
    <row r="277" spans="1:24" x14ac:dyDescent="0.55000000000000004">
      <c r="A277">
        <v>56</v>
      </c>
      <c r="B277" t="s">
        <v>113</v>
      </c>
      <c r="C277">
        <v>3</v>
      </c>
      <c r="D277" t="str">
        <f t="shared" si="123"/>
        <v>hhh</v>
      </c>
      <c r="E277" t="str">
        <f t="shared" si="131"/>
        <v>T</v>
      </c>
      <c r="F277" t="e">
        <f t="shared" si="130"/>
        <v>#N/A</v>
      </c>
      <c r="P277">
        <v>56</v>
      </c>
      <c r="Q277" t="e">
        <f t="shared" si="132"/>
        <v>#N/A</v>
      </c>
      <c r="R277" t="e">
        <f t="shared" si="132"/>
        <v>#N/A</v>
      </c>
      <c r="S277" t="e">
        <f t="shared" si="132"/>
        <v>#N/A</v>
      </c>
      <c r="V277" t="e">
        <f t="shared" si="129"/>
        <v>#N/A</v>
      </c>
      <c r="W277" t="e">
        <f t="shared" si="127"/>
        <v>#N/A</v>
      </c>
      <c r="X277" t="e">
        <f t="shared" si="128"/>
        <v>#N/A</v>
      </c>
    </row>
    <row r="278" spans="1:24" x14ac:dyDescent="0.55000000000000004">
      <c r="A278">
        <v>57</v>
      </c>
      <c r="B278" t="s">
        <v>115</v>
      </c>
      <c r="C278">
        <v>12</v>
      </c>
      <c r="D278" t="str">
        <f t="shared" si="123"/>
        <v>iiiiiiiiiiii</v>
      </c>
      <c r="E278" t="str">
        <f t="shared" si="131"/>
        <v>U</v>
      </c>
      <c r="F278" t="e">
        <f t="shared" si="130"/>
        <v>#N/A</v>
      </c>
      <c r="P278">
        <v>57</v>
      </c>
      <c r="Q278" t="e">
        <f t="shared" si="132"/>
        <v>#N/A</v>
      </c>
      <c r="R278" t="e">
        <f t="shared" si="132"/>
        <v>#N/A</v>
      </c>
      <c r="S278" t="e">
        <f t="shared" si="132"/>
        <v>#N/A</v>
      </c>
      <c r="V278" t="e">
        <f t="shared" si="129"/>
        <v>#N/A</v>
      </c>
      <c r="W278" t="e">
        <f t="shared" si="127"/>
        <v>#N/A</v>
      </c>
      <c r="X278" t="e">
        <f t="shared" si="128"/>
        <v>#N/A</v>
      </c>
    </row>
    <row r="279" spans="1:24" x14ac:dyDescent="0.55000000000000004">
      <c r="A279">
        <v>58</v>
      </c>
      <c r="B279" t="s">
        <v>116</v>
      </c>
      <c r="C279">
        <v>8</v>
      </c>
      <c r="D279" t="str">
        <f t="shared" si="123"/>
        <v>iiiiiiii</v>
      </c>
      <c r="E279" t="str">
        <f t="shared" si="131"/>
        <v>V</v>
      </c>
      <c r="F279" t="e">
        <f t="shared" si="130"/>
        <v>#N/A</v>
      </c>
      <c r="P279">
        <v>58</v>
      </c>
      <c r="Q279" t="e">
        <f t="shared" si="132"/>
        <v>#N/A</v>
      </c>
      <c r="R279" t="e">
        <f t="shared" si="132"/>
        <v>#N/A</v>
      </c>
      <c r="S279" t="e">
        <f t="shared" si="132"/>
        <v>#N/A</v>
      </c>
      <c r="V279" t="e">
        <f t="shared" si="129"/>
        <v>#N/A</v>
      </c>
      <c r="W279" t="e">
        <f t="shared" si="127"/>
        <v>#N/A</v>
      </c>
      <c r="X279" t="e">
        <f t="shared" si="128"/>
        <v>#N/A</v>
      </c>
    </row>
    <row r="280" spans="1:24" x14ac:dyDescent="0.55000000000000004">
      <c r="A280">
        <v>59</v>
      </c>
      <c r="B280" t="s">
        <v>117</v>
      </c>
      <c r="C280">
        <v>3</v>
      </c>
      <c r="D280" t="str">
        <f t="shared" si="123"/>
        <v>iii</v>
      </c>
      <c r="E280" t="str">
        <f t="shared" si="131"/>
        <v>W</v>
      </c>
      <c r="F280" t="e">
        <f t="shared" si="130"/>
        <v>#N/A</v>
      </c>
      <c r="P280">
        <v>59</v>
      </c>
      <c r="Q280" t="e">
        <f t="shared" si="132"/>
        <v>#N/A</v>
      </c>
      <c r="R280" t="e">
        <f t="shared" si="132"/>
        <v>#N/A</v>
      </c>
      <c r="S280" t="e">
        <f t="shared" si="132"/>
        <v>#N/A</v>
      </c>
      <c r="V280" t="e">
        <f t="shared" si="129"/>
        <v>#N/A</v>
      </c>
      <c r="W280" t="e">
        <f t="shared" si="127"/>
        <v>#N/A</v>
      </c>
      <c r="X280" t="e">
        <f t="shared" si="128"/>
        <v>#N/A</v>
      </c>
    </row>
    <row r="281" spans="1:24" x14ac:dyDescent="0.55000000000000004">
      <c r="A281">
        <v>60</v>
      </c>
      <c r="B281" t="s">
        <v>118</v>
      </c>
      <c r="C281">
        <v>12</v>
      </c>
      <c r="D281" t="str">
        <f t="shared" si="123"/>
        <v>jjjjjjjjjjjj</v>
      </c>
      <c r="E281" t="str">
        <f t="shared" si="131"/>
        <v>X</v>
      </c>
      <c r="F281" t="e">
        <f>SUBSTITUTE(F280,D281,"."&amp;MID(A$207,A281,1))</f>
        <v>#N/A</v>
      </c>
      <c r="P281">
        <v>60</v>
      </c>
      <c r="Q281" t="e">
        <f t="shared" si="132"/>
        <v>#N/A</v>
      </c>
      <c r="R281" t="e">
        <f t="shared" si="132"/>
        <v>#N/A</v>
      </c>
      <c r="S281" t="e">
        <f t="shared" si="132"/>
        <v>#N/A</v>
      </c>
      <c r="V281" t="e">
        <f t="shared" si="129"/>
        <v>#N/A</v>
      </c>
      <c r="W281" t="e">
        <f t="shared" si="127"/>
        <v>#N/A</v>
      </c>
      <c r="X281" t="e">
        <f t="shared" si="128"/>
        <v>#N/A</v>
      </c>
    </row>
    <row r="282" spans="1:24" x14ac:dyDescent="0.55000000000000004">
      <c r="A282">
        <v>61</v>
      </c>
      <c r="B282" t="s">
        <v>119</v>
      </c>
      <c r="C282">
        <v>8</v>
      </c>
      <c r="D282" t="str">
        <f t="shared" si="123"/>
        <v>jjjjjjjj</v>
      </c>
      <c r="E282" t="str">
        <f t="shared" si="131"/>
        <v>Y</v>
      </c>
      <c r="F282" t="e">
        <f>SUBSTITUTE(F281,D282,"."&amp;MID(A$207,A282,1))</f>
        <v>#N/A</v>
      </c>
      <c r="P282">
        <v>61</v>
      </c>
      <c r="Q282" t="e">
        <f t="shared" si="132"/>
        <v>#N/A</v>
      </c>
      <c r="R282" t="e">
        <f t="shared" si="132"/>
        <v>#N/A</v>
      </c>
      <c r="S282" t="e">
        <f t="shared" si="132"/>
        <v>#N/A</v>
      </c>
      <c r="V282" t="e">
        <f t="shared" si="129"/>
        <v>#N/A</v>
      </c>
      <c r="W282" t="e">
        <f t="shared" si="127"/>
        <v>#N/A</v>
      </c>
      <c r="X282" t="e">
        <f t="shared" si="128"/>
        <v>#N/A</v>
      </c>
    </row>
    <row r="283" spans="1:24" x14ac:dyDescent="0.55000000000000004">
      <c r="A283">
        <v>62</v>
      </c>
      <c r="B283" t="s">
        <v>120</v>
      </c>
      <c r="C283">
        <v>3</v>
      </c>
      <c r="D283" t="str">
        <f t="shared" si="123"/>
        <v>jjj</v>
      </c>
      <c r="E283" t="str">
        <f t="shared" si="131"/>
        <v>Z</v>
      </c>
      <c r="F283" t="e">
        <f>SUBSTITUTE(F282,D283,"."&amp;MID(A$207,A283,1))</f>
        <v>#N/A</v>
      </c>
      <c r="P283">
        <v>62</v>
      </c>
      <c r="Q283" t="e">
        <f t="shared" si="132"/>
        <v>#N/A</v>
      </c>
      <c r="R283" t="e">
        <f t="shared" si="132"/>
        <v>#N/A</v>
      </c>
      <c r="S283" t="e">
        <f t="shared" si="132"/>
        <v>#N/A</v>
      </c>
      <c r="V283" t="e">
        <f t="shared" si="129"/>
        <v>#N/A</v>
      </c>
      <c r="W283" t="e">
        <f t="shared" si="127"/>
        <v>#N/A</v>
      </c>
      <c r="X283" t="e">
        <f t="shared" si="128"/>
        <v>#N/A</v>
      </c>
    </row>
    <row r="284" spans="1:24" x14ac:dyDescent="0.55000000000000004">
      <c r="A284">
        <v>1</v>
      </c>
      <c r="D284" s="87" t="str">
        <f>"0"&amp;E284&amp;"0"</f>
        <v>010</v>
      </c>
      <c r="E284" t="str">
        <f>MID(A$207,A284+1,1)</f>
        <v>1</v>
      </c>
      <c r="F284" t="e">
        <f t="shared" ref="F284:F293" si="133">SUBSTITUTE(F283,D284,"-"&amp;MID(A$207,A284+1,1))</f>
        <v>#N/A</v>
      </c>
      <c r="P284">
        <v>63</v>
      </c>
      <c r="Q284" t="e">
        <f t="shared" si="132"/>
        <v>#N/A</v>
      </c>
      <c r="R284" t="e">
        <f t="shared" si="132"/>
        <v>#N/A</v>
      </c>
      <c r="S284" t="e">
        <f t="shared" si="132"/>
        <v>#N/A</v>
      </c>
      <c r="V284" t="e">
        <f t="shared" si="129"/>
        <v>#N/A</v>
      </c>
      <c r="W284" t="e">
        <f t="shared" si="127"/>
        <v>#N/A</v>
      </c>
      <c r="X284" t="e">
        <f t="shared" si="128"/>
        <v>#N/A</v>
      </c>
    </row>
    <row r="285" spans="1:24" x14ac:dyDescent="0.55000000000000004">
      <c r="A285">
        <v>2</v>
      </c>
      <c r="D285" s="87" t="str">
        <f t="shared" ref="D285:D344" si="134">"0"&amp;E285&amp;"0"</f>
        <v>020</v>
      </c>
      <c r="E285" t="str">
        <f>MID(A$207,A285+1,1)</f>
        <v>2</v>
      </c>
      <c r="F285" t="e">
        <f t="shared" si="133"/>
        <v>#N/A</v>
      </c>
      <c r="P285">
        <v>64</v>
      </c>
      <c r="Q285" t="e">
        <f t="shared" si="132"/>
        <v>#N/A</v>
      </c>
      <c r="R285" t="e">
        <f t="shared" si="132"/>
        <v>#N/A</v>
      </c>
      <c r="S285" t="e">
        <f t="shared" si="132"/>
        <v>#N/A</v>
      </c>
      <c r="V285" t="e">
        <f t="shared" si="129"/>
        <v>#N/A</v>
      </c>
      <c r="W285" t="e">
        <f t="shared" si="127"/>
        <v>#N/A</v>
      </c>
      <c r="X285" t="e">
        <f t="shared" si="128"/>
        <v>#N/A</v>
      </c>
    </row>
    <row r="286" spans="1:24" x14ac:dyDescent="0.55000000000000004">
      <c r="A286">
        <v>3</v>
      </c>
      <c r="D286" s="87" t="str">
        <f t="shared" si="134"/>
        <v>030</v>
      </c>
      <c r="E286" t="str">
        <f>MID(A$207,A286+1,1)</f>
        <v>3</v>
      </c>
      <c r="F286" t="e">
        <f t="shared" si="133"/>
        <v>#N/A</v>
      </c>
      <c r="P286">
        <v>65</v>
      </c>
      <c r="Q286" t="e">
        <f t="shared" si="132"/>
        <v>#N/A</v>
      </c>
      <c r="R286" t="e">
        <f t="shared" si="132"/>
        <v>#N/A</v>
      </c>
      <c r="S286" t="e">
        <f t="shared" si="132"/>
        <v>#N/A</v>
      </c>
      <c r="V286" t="e">
        <f t="shared" si="129"/>
        <v>#N/A</v>
      </c>
      <c r="W286" t="e">
        <f t="shared" si="127"/>
        <v>#N/A</v>
      </c>
      <c r="X286" t="e">
        <f t="shared" si="128"/>
        <v>#N/A</v>
      </c>
    </row>
    <row r="287" spans="1:24" x14ac:dyDescent="0.55000000000000004">
      <c r="A287">
        <v>4</v>
      </c>
      <c r="D287" s="87" t="str">
        <f t="shared" si="134"/>
        <v>040</v>
      </c>
      <c r="E287" t="str">
        <f t="shared" ref="E287:E344" si="135">MID(A$207,A287+1,1)</f>
        <v>4</v>
      </c>
      <c r="F287" t="e">
        <f t="shared" si="133"/>
        <v>#N/A</v>
      </c>
      <c r="P287">
        <v>66</v>
      </c>
      <c r="Q287" t="e">
        <f t="shared" ref="Q287:S321" si="136">IF($P287+Q$221*100&lt;=$P$220,MID($Q$220,$P287+Q$221*100,1),"")</f>
        <v>#N/A</v>
      </c>
      <c r="R287" t="e">
        <f t="shared" si="136"/>
        <v>#N/A</v>
      </c>
      <c r="S287" t="e">
        <f t="shared" si="136"/>
        <v>#N/A</v>
      </c>
      <c r="V287" t="e">
        <f t="shared" ref="V287:V321" si="137">IF($P287+Q$221*100&lt;=$P$220,CODE(Q287)*($P287+Q$221*100),"")</f>
        <v>#N/A</v>
      </c>
      <c r="W287" t="e">
        <f t="shared" ref="W287:W321" si="138">IF($P287+R$221*100&lt;=$P$220,CODE(R287)*($P287+R$221*100),"")</f>
        <v>#N/A</v>
      </c>
      <c r="X287" t="e">
        <f t="shared" ref="X287:X321" si="139">IF($P287+S$221*100&lt;=$P$220,CODE(S287)*($P287+S$221*100),"")</f>
        <v>#N/A</v>
      </c>
    </row>
    <row r="288" spans="1:24" x14ac:dyDescent="0.55000000000000004">
      <c r="A288">
        <v>5</v>
      </c>
      <c r="D288" s="87" t="str">
        <f t="shared" si="134"/>
        <v>050</v>
      </c>
      <c r="E288" t="str">
        <f t="shared" si="135"/>
        <v>5</v>
      </c>
      <c r="F288" t="e">
        <f t="shared" si="133"/>
        <v>#N/A</v>
      </c>
      <c r="P288">
        <v>67</v>
      </c>
      <c r="Q288" t="e">
        <f t="shared" si="136"/>
        <v>#N/A</v>
      </c>
      <c r="R288" t="e">
        <f t="shared" si="136"/>
        <v>#N/A</v>
      </c>
      <c r="S288" t="e">
        <f t="shared" si="136"/>
        <v>#N/A</v>
      </c>
      <c r="V288" t="e">
        <f t="shared" si="137"/>
        <v>#N/A</v>
      </c>
      <c r="W288" t="e">
        <f t="shared" si="138"/>
        <v>#N/A</v>
      </c>
      <c r="X288" t="e">
        <f t="shared" si="139"/>
        <v>#N/A</v>
      </c>
    </row>
    <row r="289" spans="1:24" x14ac:dyDescent="0.55000000000000004">
      <c r="A289">
        <v>6</v>
      </c>
      <c r="D289" s="87" t="str">
        <f t="shared" si="134"/>
        <v>060</v>
      </c>
      <c r="E289" t="str">
        <f t="shared" si="135"/>
        <v>6</v>
      </c>
      <c r="F289" t="e">
        <f t="shared" si="133"/>
        <v>#N/A</v>
      </c>
      <c r="P289">
        <v>68</v>
      </c>
      <c r="Q289" t="e">
        <f t="shared" si="136"/>
        <v>#N/A</v>
      </c>
      <c r="R289" t="e">
        <f t="shared" si="136"/>
        <v>#N/A</v>
      </c>
      <c r="S289" t="e">
        <f t="shared" si="136"/>
        <v>#N/A</v>
      </c>
      <c r="V289" t="e">
        <f t="shared" si="137"/>
        <v>#N/A</v>
      </c>
      <c r="W289" t="e">
        <f t="shared" si="138"/>
        <v>#N/A</v>
      </c>
      <c r="X289" t="e">
        <f t="shared" si="139"/>
        <v>#N/A</v>
      </c>
    </row>
    <row r="290" spans="1:24" x14ac:dyDescent="0.55000000000000004">
      <c r="A290">
        <v>7</v>
      </c>
      <c r="D290" s="87" t="str">
        <f t="shared" si="134"/>
        <v>070</v>
      </c>
      <c r="E290" t="str">
        <f t="shared" si="135"/>
        <v>7</v>
      </c>
      <c r="F290" t="e">
        <f t="shared" si="133"/>
        <v>#N/A</v>
      </c>
      <c r="P290">
        <v>69</v>
      </c>
      <c r="Q290" t="e">
        <f t="shared" si="136"/>
        <v>#N/A</v>
      </c>
      <c r="R290" t="e">
        <f t="shared" si="136"/>
        <v>#N/A</v>
      </c>
      <c r="S290" t="e">
        <f t="shared" si="136"/>
        <v>#N/A</v>
      </c>
      <c r="V290" t="e">
        <f t="shared" si="137"/>
        <v>#N/A</v>
      </c>
      <c r="W290" t="e">
        <f t="shared" si="138"/>
        <v>#N/A</v>
      </c>
      <c r="X290" t="e">
        <f t="shared" si="139"/>
        <v>#N/A</v>
      </c>
    </row>
    <row r="291" spans="1:24" x14ac:dyDescent="0.55000000000000004">
      <c r="A291">
        <v>8</v>
      </c>
      <c r="D291" s="87" t="str">
        <f t="shared" si="134"/>
        <v>080</v>
      </c>
      <c r="E291" t="str">
        <f t="shared" si="135"/>
        <v>8</v>
      </c>
      <c r="F291" t="e">
        <f t="shared" si="133"/>
        <v>#N/A</v>
      </c>
      <c r="P291">
        <v>70</v>
      </c>
      <c r="Q291" t="e">
        <f t="shared" si="136"/>
        <v>#N/A</v>
      </c>
      <c r="R291" t="e">
        <f t="shared" si="136"/>
        <v>#N/A</v>
      </c>
      <c r="S291" t="e">
        <f t="shared" si="136"/>
        <v>#N/A</v>
      </c>
      <c r="V291" t="e">
        <f t="shared" si="137"/>
        <v>#N/A</v>
      </c>
      <c r="W291" t="e">
        <f t="shared" si="138"/>
        <v>#N/A</v>
      </c>
      <c r="X291" t="e">
        <f t="shared" si="139"/>
        <v>#N/A</v>
      </c>
    </row>
    <row r="292" spans="1:24" x14ac:dyDescent="0.55000000000000004">
      <c r="A292">
        <v>9</v>
      </c>
      <c r="D292" s="87" t="str">
        <f t="shared" si="134"/>
        <v>090</v>
      </c>
      <c r="E292" t="str">
        <f t="shared" si="135"/>
        <v>9</v>
      </c>
      <c r="F292" t="e">
        <f t="shared" si="133"/>
        <v>#N/A</v>
      </c>
      <c r="P292">
        <v>71</v>
      </c>
      <c r="Q292" t="e">
        <f t="shared" si="136"/>
        <v>#N/A</v>
      </c>
      <c r="R292" t="e">
        <f t="shared" si="136"/>
        <v>#N/A</v>
      </c>
      <c r="S292" t="e">
        <f t="shared" si="136"/>
        <v>#N/A</v>
      </c>
      <c r="V292" t="e">
        <f t="shared" si="137"/>
        <v>#N/A</v>
      </c>
      <c r="W292" t="e">
        <f t="shared" si="138"/>
        <v>#N/A</v>
      </c>
      <c r="X292" t="e">
        <f t="shared" si="139"/>
        <v>#N/A</v>
      </c>
    </row>
    <row r="293" spans="1:24" x14ac:dyDescent="0.55000000000000004">
      <c r="A293">
        <v>10</v>
      </c>
      <c r="D293" s="87" t="str">
        <f t="shared" si="134"/>
        <v>0a0</v>
      </c>
      <c r="E293" t="str">
        <f t="shared" si="135"/>
        <v>a</v>
      </c>
      <c r="F293" t="e">
        <f t="shared" si="133"/>
        <v>#N/A</v>
      </c>
      <c r="P293">
        <v>72</v>
      </c>
      <c r="Q293" t="e">
        <f t="shared" si="136"/>
        <v>#N/A</v>
      </c>
      <c r="R293" t="e">
        <f t="shared" si="136"/>
        <v>#N/A</v>
      </c>
      <c r="S293" t="e">
        <f t="shared" si="136"/>
        <v>#N/A</v>
      </c>
      <c r="V293" t="e">
        <f t="shared" si="137"/>
        <v>#N/A</v>
      </c>
      <c r="W293" t="e">
        <f t="shared" si="138"/>
        <v>#N/A</v>
      </c>
      <c r="X293" t="e">
        <f t="shared" si="139"/>
        <v>#N/A</v>
      </c>
    </row>
    <row r="294" spans="1:24" x14ac:dyDescent="0.55000000000000004">
      <c r="A294">
        <v>11</v>
      </c>
      <c r="D294" s="87" t="str">
        <f t="shared" si="134"/>
        <v>0b0</v>
      </c>
      <c r="E294" t="str">
        <f t="shared" si="135"/>
        <v>b</v>
      </c>
      <c r="F294" t="e">
        <f t="shared" ref="F294:F302" si="140">SUBSTITUTE(F293,D294,"-"&amp;MID(A$207,A294+1,1))</f>
        <v>#N/A</v>
      </c>
      <c r="P294">
        <v>73</v>
      </c>
      <c r="Q294" t="e">
        <f t="shared" si="136"/>
        <v>#N/A</v>
      </c>
      <c r="R294" t="e">
        <f t="shared" si="136"/>
        <v>#N/A</v>
      </c>
      <c r="S294" t="e">
        <f t="shared" si="136"/>
        <v>#N/A</v>
      </c>
      <c r="V294" t="e">
        <f t="shared" si="137"/>
        <v>#N/A</v>
      </c>
      <c r="W294" t="e">
        <f t="shared" si="138"/>
        <v>#N/A</v>
      </c>
      <c r="X294" t="e">
        <f t="shared" si="139"/>
        <v>#N/A</v>
      </c>
    </row>
    <row r="295" spans="1:24" x14ac:dyDescent="0.55000000000000004">
      <c r="A295">
        <v>12</v>
      </c>
      <c r="D295" s="87" t="str">
        <f t="shared" si="134"/>
        <v>0c0</v>
      </c>
      <c r="E295" t="str">
        <f t="shared" si="135"/>
        <v>c</v>
      </c>
      <c r="F295" t="e">
        <f t="shared" si="140"/>
        <v>#N/A</v>
      </c>
      <c r="P295">
        <v>74</v>
      </c>
      <c r="Q295" t="e">
        <f t="shared" si="136"/>
        <v>#N/A</v>
      </c>
      <c r="R295" t="e">
        <f t="shared" si="136"/>
        <v>#N/A</v>
      </c>
      <c r="S295" t="e">
        <f t="shared" si="136"/>
        <v>#N/A</v>
      </c>
      <c r="V295" t="e">
        <f t="shared" si="137"/>
        <v>#N/A</v>
      </c>
      <c r="W295" t="e">
        <f t="shared" si="138"/>
        <v>#N/A</v>
      </c>
      <c r="X295" t="e">
        <f t="shared" si="139"/>
        <v>#N/A</v>
      </c>
    </row>
    <row r="296" spans="1:24" x14ac:dyDescent="0.55000000000000004">
      <c r="A296">
        <v>13</v>
      </c>
      <c r="D296" s="87" t="str">
        <f t="shared" si="134"/>
        <v>0d0</v>
      </c>
      <c r="E296" t="str">
        <f t="shared" si="135"/>
        <v>d</v>
      </c>
      <c r="F296" t="e">
        <f t="shared" si="140"/>
        <v>#N/A</v>
      </c>
      <c r="P296">
        <v>75</v>
      </c>
      <c r="Q296" t="e">
        <f t="shared" si="136"/>
        <v>#N/A</v>
      </c>
      <c r="R296" t="e">
        <f t="shared" si="136"/>
        <v>#N/A</v>
      </c>
      <c r="S296" t="e">
        <f t="shared" si="136"/>
        <v>#N/A</v>
      </c>
      <c r="V296" t="e">
        <f t="shared" si="137"/>
        <v>#N/A</v>
      </c>
      <c r="W296" t="e">
        <f t="shared" si="138"/>
        <v>#N/A</v>
      </c>
      <c r="X296" t="e">
        <f t="shared" si="139"/>
        <v>#N/A</v>
      </c>
    </row>
    <row r="297" spans="1:24" x14ac:dyDescent="0.55000000000000004">
      <c r="A297">
        <v>14</v>
      </c>
      <c r="D297" s="87" t="str">
        <f t="shared" si="134"/>
        <v>0e0</v>
      </c>
      <c r="E297" t="str">
        <f t="shared" si="135"/>
        <v>e</v>
      </c>
      <c r="F297" t="e">
        <f t="shared" si="140"/>
        <v>#N/A</v>
      </c>
      <c r="P297">
        <v>76</v>
      </c>
      <c r="Q297" t="e">
        <f t="shared" si="136"/>
        <v>#N/A</v>
      </c>
      <c r="R297" t="e">
        <f t="shared" si="136"/>
        <v>#N/A</v>
      </c>
      <c r="S297" t="e">
        <f t="shared" si="136"/>
        <v>#N/A</v>
      </c>
      <c r="V297" t="e">
        <f t="shared" si="137"/>
        <v>#N/A</v>
      </c>
      <c r="W297" t="e">
        <f t="shared" si="138"/>
        <v>#N/A</v>
      </c>
      <c r="X297" t="e">
        <f t="shared" si="139"/>
        <v>#N/A</v>
      </c>
    </row>
    <row r="298" spans="1:24" x14ac:dyDescent="0.55000000000000004">
      <c r="A298">
        <v>15</v>
      </c>
      <c r="D298" s="87" t="str">
        <f t="shared" si="134"/>
        <v>0f0</v>
      </c>
      <c r="E298" t="str">
        <f t="shared" si="135"/>
        <v>f</v>
      </c>
      <c r="F298" t="e">
        <f t="shared" si="140"/>
        <v>#N/A</v>
      </c>
      <c r="P298">
        <v>77</v>
      </c>
      <c r="Q298" t="e">
        <f t="shared" si="136"/>
        <v>#N/A</v>
      </c>
      <c r="R298" t="e">
        <f t="shared" si="136"/>
        <v>#N/A</v>
      </c>
      <c r="S298" t="e">
        <f t="shared" si="136"/>
        <v>#N/A</v>
      </c>
      <c r="V298" t="e">
        <f t="shared" si="137"/>
        <v>#N/A</v>
      </c>
      <c r="W298" t="e">
        <f t="shared" si="138"/>
        <v>#N/A</v>
      </c>
      <c r="X298" t="e">
        <f t="shared" si="139"/>
        <v>#N/A</v>
      </c>
    </row>
    <row r="299" spans="1:24" x14ac:dyDescent="0.55000000000000004">
      <c r="A299">
        <v>16</v>
      </c>
      <c r="D299" s="87" t="str">
        <f t="shared" si="134"/>
        <v>0g0</v>
      </c>
      <c r="E299" t="str">
        <f t="shared" si="135"/>
        <v>g</v>
      </c>
      <c r="F299" t="e">
        <f t="shared" si="140"/>
        <v>#N/A</v>
      </c>
      <c r="P299">
        <v>78</v>
      </c>
      <c r="Q299" t="e">
        <f t="shared" si="136"/>
        <v>#N/A</v>
      </c>
      <c r="R299" t="e">
        <f t="shared" si="136"/>
        <v>#N/A</v>
      </c>
      <c r="S299" t="e">
        <f t="shared" si="136"/>
        <v>#N/A</v>
      </c>
      <c r="V299" t="e">
        <f t="shared" si="137"/>
        <v>#N/A</v>
      </c>
      <c r="W299" t="e">
        <f t="shared" si="138"/>
        <v>#N/A</v>
      </c>
      <c r="X299" t="e">
        <f t="shared" si="139"/>
        <v>#N/A</v>
      </c>
    </row>
    <row r="300" spans="1:24" x14ac:dyDescent="0.55000000000000004">
      <c r="A300">
        <v>17</v>
      </c>
      <c r="D300" s="87" t="str">
        <f t="shared" si="134"/>
        <v>0h0</v>
      </c>
      <c r="E300" t="str">
        <f t="shared" si="135"/>
        <v>h</v>
      </c>
      <c r="F300" t="e">
        <f t="shared" si="140"/>
        <v>#N/A</v>
      </c>
      <c r="P300">
        <v>79</v>
      </c>
      <c r="Q300" t="e">
        <f t="shared" si="136"/>
        <v>#N/A</v>
      </c>
      <c r="R300" t="e">
        <f t="shared" si="136"/>
        <v>#N/A</v>
      </c>
      <c r="S300" t="e">
        <f t="shared" si="136"/>
        <v>#N/A</v>
      </c>
      <c r="V300" t="e">
        <f t="shared" si="137"/>
        <v>#N/A</v>
      </c>
      <c r="W300" t="e">
        <f t="shared" si="138"/>
        <v>#N/A</v>
      </c>
      <c r="X300" t="e">
        <f t="shared" si="139"/>
        <v>#N/A</v>
      </c>
    </row>
    <row r="301" spans="1:24" x14ac:dyDescent="0.55000000000000004">
      <c r="A301">
        <v>18</v>
      </c>
      <c r="D301" s="87" t="str">
        <f t="shared" si="134"/>
        <v>0i0</v>
      </c>
      <c r="E301" t="str">
        <f t="shared" si="135"/>
        <v>i</v>
      </c>
      <c r="F301" t="e">
        <f t="shared" si="140"/>
        <v>#N/A</v>
      </c>
      <c r="P301">
        <v>80</v>
      </c>
      <c r="Q301" t="e">
        <f t="shared" si="136"/>
        <v>#N/A</v>
      </c>
      <c r="R301" t="e">
        <f t="shared" si="136"/>
        <v>#N/A</v>
      </c>
      <c r="S301" t="e">
        <f t="shared" si="136"/>
        <v>#N/A</v>
      </c>
      <c r="V301" t="e">
        <f t="shared" si="137"/>
        <v>#N/A</v>
      </c>
      <c r="W301" t="e">
        <f t="shared" si="138"/>
        <v>#N/A</v>
      </c>
      <c r="X301" t="e">
        <f t="shared" si="139"/>
        <v>#N/A</v>
      </c>
    </row>
    <row r="302" spans="1:24" x14ac:dyDescent="0.55000000000000004">
      <c r="A302">
        <v>19</v>
      </c>
      <c r="D302" s="87" t="str">
        <f t="shared" si="134"/>
        <v>0j0</v>
      </c>
      <c r="E302" t="str">
        <f>MID(A$207,A302+1,1)</f>
        <v>j</v>
      </c>
      <c r="F302" t="e">
        <f t="shared" si="140"/>
        <v>#N/A</v>
      </c>
      <c r="P302">
        <v>81</v>
      </c>
      <c r="Q302" t="e">
        <f t="shared" si="136"/>
        <v>#N/A</v>
      </c>
      <c r="R302" t="e">
        <f t="shared" si="136"/>
        <v>#N/A</v>
      </c>
      <c r="S302" t="e">
        <f t="shared" si="136"/>
        <v>#N/A</v>
      </c>
      <c r="V302" t="e">
        <f t="shared" si="137"/>
        <v>#N/A</v>
      </c>
      <c r="W302" t="e">
        <f t="shared" si="138"/>
        <v>#N/A</v>
      </c>
      <c r="X302" t="e">
        <f t="shared" si="139"/>
        <v>#N/A</v>
      </c>
    </row>
    <row r="303" spans="1:24" x14ac:dyDescent="0.55000000000000004">
      <c r="A303">
        <v>20</v>
      </c>
      <c r="D303" s="87" t="str">
        <f t="shared" si="134"/>
        <v>0k0</v>
      </c>
      <c r="E303" t="str">
        <f t="shared" si="135"/>
        <v>k</v>
      </c>
      <c r="F303" t="e">
        <f>SUBSTITUTE(F302,D303,"-"&amp;MID(A$207,A303+1,1))</f>
        <v>#N/A</v>
      </c>
      <c r="P303">
        <v>82</v>
      </c>
      <c r="Q303" t="e">
        <f t="shared" si="136"/>
        <v>#N/A</v>
      </c>
      <c r="R303" t="e">
        <f t="shared" si="136"/>
        <v>#N/A</v>
      </c>
      <c r="S303" t="e">
        <f t="shared" si="136"/>
        <v>#N/A</v>
      </c>
      <c r="V303" t="e">
        <f t="shared" si="137"/>
        <v>#N/A</v>
      </c>
      <c r="W303" t="e">
        <f t="shared" si="138"/>
        <v>#N/A</v>
      </c>
      <c r="X303" t="e">
        <f t="shared" si="139"/>
        <v>#N/A</v>
      </c>
    </row>
    <row r="304" spans="1:24" x14ac:dyDescent="0.55000000000000004">
      <c r="A304">
        <v>21</v>
      </c>
      <c r="D304" s="87" t="str">
        <f t="shared" si="134"/>
        <v>0l0</v>
      </c>
      <c r="E304" t="str">
        <f t="shared" si="135"/>
        <v>l</v>
      </c>
      <c r="F304" t="e">
        <f t="shared" ref="F304:F344" si="141">SUBSTITUTE(F303,D304,"-"&amp;MID(A$207,A304+1,1))</f>
        <v>#N/A</v>
      </c>
      <c r="P304">
        <v>83</v>
      </c>
      <c r="Q304" t="e">
        <f t="shared" si="136"/>
        <v>#N/A</v>
      </c>
      <c r="R304" t="e">
        <f t="shared" si="136"/>
        <v>#N/A</v>
      </c>
      <c r="S304" t="e">
        <f t="shared" si="136"/>
        <v>#N/A</v>
      </c>
      <c r="V304" t="e">
        <f t="shared" si="137"/>
        <v>#N/A</v>
      </c>
      <c r="W304" t="e">
        <f t="shared" si="138"/>
        <v>#N/A</v>
      </c>
      <c r="X304" t="e">
        <f t="shared" si="139"/>
        <v>#N/A</v>
      </c>
    </row>
    <row r="305" spans="1:24" x14ac:dyDescent="0.55000000000000004">
      <c r="A305">
        <v>22</v>
      </c>
      <c r="D305" s="87" t="str">
        <f t="shared" si="134"/>
        <v>0m0</v>
      </c>
      <c r="E305" t="str">
        <f t="shared" si="135"/>
        <v>m</v>
      </c>
      <c r="F305" t="e">
        <f t="shared" si="141"/>
        <v>#N/A</v>
      </c>
      <c r="P305">
        <v>84</v>
      </c>
      <c r="Q305" t="e">
        <f t="shared" si="136"/>
        <v>#N/A</v>
      </c>
      <c r="R305" t="e">
        <f t="shared" si="136"/>
        <v>#N/A</v>
      </c>
      <c r="S305" t="e">
        <f t="shared" si="136"/>
        <v>#N/A</v>
      </c>
      <c r="V305" t="e">
        <f t="shared" si="137"/>
        <v>#N/A</v>
      </c>
      <c r="W305" t="e">
        <f t="shared" si="138"/>
        <v>#N/A</v>
      </c>
      <c r="X305" t="e">
        <f t="shared" si="139"/>
        <v>#N/A</v>
      </c>
    </row>
    <row r="306" spans="1:24" x14ac:dyDescent="0.55000000000000004">
      <c r="A306">
        <v>23</v>
      </c>
      <c r="D306" s="87" t="str">
        <f t="shared" si="134"/>
        <v>0n0</v>
      </c>
      <c r="E306" t="str">
        <f t="shared" si="135"/>
        <v>n</v>
      </c>
      <c r="F306" t="e">
        <f t="shared" si="141"/>
        <v>#N/A</v>
      </c>
      <c r="P306">
        <v>85</v>
      </c>
      <c r="Q306" t="e">
        <f t="shared" si="136"/>
        <v>#N/A</v>
      </c>
      <c r="R306" t="e">
        <f t="shared" si="136"/>
        <v>#N/A</v>
      </c>
      <c r="S306" t="e">
        <f t="shared" si="136"/>
        <v>#N/A</v>
      </c>
      <c r="V306" t="e">
        <f t="shared" si="137"/>
        <v>#N/A</v>
      </c>
      <c r="W306" t="e">
        <f t="shared" si="138"/>
        <v>#N/A</v>
      </c>
      <c r="X306" t="e">
        <f t="shared" si="139"/>
        <v>#N/A</v>
      </c>
    </row>
    <row r="307" spans="1:24" x14ac:dyDescent="0.55000000000000004">
      <c r="A307">
        <v>24</v>
      </c>
      <c r="D307" s="87" t="str">
        <f t="shared" si="134"/>
        <v>0o0</v>
      </c>
      <c r="E307" t="str">
        <f t="shared" si="135"/>
        <v>o</v>
      </c>
      <c r="F307" t="e">
        <f t="shared" si="141"/>
        <v>#N/A</v>
      </c>
      <c r="P307">
        <v>86</v>
      </c>
      <c r="Q307" t="e">
        <f t="shared" si="136"/>
        <v>#N/A</v>
      </c>
      <c r="R307" t="e">
        <f t="shared" si="136"/>
        <v>#N/A</v>
      </c>
      <c r="S307" t="e">
        <f t="shared" si="136"/>
        <v>#N/A</v>
      </c>
      <c r="V307" t="e">
        <f t="shared" si="137"/>
        <v>#N/A</v>
      </c>
      <c r="W307" t="e">
        <f t="shared" si="138"/>
        <v>#N/A</v>
      </c>
      <c r="X307" t="e">
        <f t="shared" si="139"/>
        <v>#N/A</v>
      </c>
    </row>
    <row r="308" spans="1:24" x14ac:dyDescent="0.55000000000000004">
      <c r="A308">
        <v>25</v>
      </c>
      <c r="D308" s="87" t="str">
        <f t="shared" si="134"/>
        <v>0p0</v>
      </c>
      <c r="E308" t="str">
        <f t="shared" si="135"/>
        <v>p</v>
      </c>
      <c r="F308" t="e">
        <f t="shared" si="141"/>
        <v>#N/A</v>
      </c>
      <c r="P308">
        <v>87</v>
      </c>
      <c r="Q308" t="e">
        <f t="shared" si="136"/>
        <v>#N/A</v>
      </c>
      <c r="R308" t="e">
        <f t="shared" si="136"/>
        <v>#N/A</v>
      </c>
      <c r="S308" t="e">
        <f t="shared" si="136"/>
        <v>#N/A</v>
      </c>
      <c r="V308" t="e">
        <f t="shared" si="137"/>
        <v>#N/A</v>
      </c>
      <c r="W308" t="e">
        <f t="shared" si="138"/>
        <v>#N/A</v>
      </c>
      <c r="X308" t="e">
        <f t="shared" si="139"/>
        <v>#N/A</v>
      </c>
    </row>
    <row r="309" spans="1:24" x14ac:dyDescent="0.55000000000000004">
      <c r="A309">
        <v>26</v>
      </c>
      <c r="D309" s="87" t="str">
        <f t="shared" si="134"/>
        <v>0q0</v>
      </c>
      <c r="E309" t="str">
        <f t="shared" si="135"/>
        <v>q</v>
      </c>
      <c r="F309" t="e">
        <f t="shared" si="141"/>
        <v>#N/A</v>
      </c>
      <c r="P309">
        <v>88</v>
      </c>
      <c r="Q309" t="e">
        <f t="shared" si="136"/>
        <v>#N/A</v>
      </c>
      <c r="R309" t="e">
        <f t="shared" si="136"/>
        <v>#N/A</v>
      </c>
      <c r="S309" t="e">
        <f t="shared" si="136"/>
        <v>#N/A</v>
      </c>
      <c r="V309" t="e">
        <f t="shared" si="137"/>
        <v>#N/A</v>
      </c>
      <c r="W309" t="e">
        <f t="shared" si="138"/>
        <v>#N/A</v>
      </c>
      <c r="X309" t="e">
        <f t="shared" si="139"/>
        <v>#N/A</v>
      </c>
    </row>
    <row r="310" spans="1:24" x14ac:dyDescent="0.55000000000000004">
      <c r="A310">
        <v>27</v>
      </c>
      <c r="D310" s="87" t="str">
        <f t="shared" si="134"/>
        <v>0r0</v>
      </c>
      <c r="E310" t="str">
        <f t="shared" si="135"/>
        <v>r</v>
      </c>
      <c r="F310" t="e">
        <f t="shared" si="141"/>
        <v>#N/A</v>
      </c>
      <c r="P310">
        <v>89</v>
      </c>
      <c r="Q310" t="e">
        <f t="shared" si="136"/>
        <v>#N/A</v>
      </c>
      <c r="R310" t="e">
        <f t="shared" si="136"/>
        <v>#N/A</v>
      </c>
      <c r="S310" t="e">
        <f t="shared" si="136"/>
        <v>#N/A</v>
      </c>
      <c r="V310" t="e">
        <f t="shared" si="137"/>
        <v>#N/A</v>
      </c>
      <c r="W310" t="e">
        <f t="shared" si="138"/>
        <v>#N/A</v>
      </c>
      <c r="X310" t="e">
        <f t="shared" si="139"/>
        <v>#N/A</v>
      </c>
    </row>
    <row r="311" spans="1:24" x14ac:dyDescent="0.55000000000000004">
      <c r="A311">
        <v>28</v>
      </c>
      <c r="D311" s="87" t="str">
        <f t="shared" si="134"/>
        <v>0s0</v>
      </c>
      <c r="E311" t="str">
        <f t="shared" si="135"/>
        <v>s</v>
      </c>
      <c r="F311" t="e">
        <f t="shared" si="141"/>
        <v>#N/A</v>
      </c>
      <c r="P311">
        <v>90</v>
      </c>
      <c r="Q311" t="e">
        <f t="shared" si="136"/>
        <v>#N/A</v>
      </c>
      <c r="R311" t="e">
        <f t="shared" si="136"/>
        <v>#N/A</v>
      </c>
      <c r="S311" t="e">
        <f t="shared" si="136"/>
        <v>#N/A</v>
      </c>
      <c r="V311" t="e">
        <f t="shared" si="137"/>
        <v>#N/A</v>
      </c>
      <c r="W311" t="e">
        <f t="shared" si="138"/>
        <v>#N/A</v>
      </c>
      <c r="X311" t="e">
        <f t="shared" si="139"/>
        <v>#N/A</v>
      </c>
    </row>
    <row r="312" spans="1:24" x14ac:dyDescent="0.55000000000000004">
      <c r="A312">
        <v>29</v>
      </c>
      <c r="D312" s="87" t="str">
        <f t="shared" si="134"/>
        <v>0t0</v>
      </c>
      <c r="E312" t="str">
        <f t="shared" si="135"/>
        <v>t</v>
      </c>
      <c r="F312" t="e">
        <f t="shared" si="141"/>
        <v>#N/A</v>
      </c>
      <c r="P312">
        <v>91</v>
      </c>
      <c r="Q312" t="e">
        <f t="shared" si="136"/>
        <v>#N/A</v>
      </c>
      <c r="R312" t="e">
        <f t="shared" si="136"/>
        <v>#N/A</v>
      </c>
      <c r="S312" t="e">
        <f t="shared" si="136"/>
        <v>#N/A</v>
      </c>
      <c r="V312" t="e">
        <f t="shared" si="137"/>
        <v>#N/A</v>
      </c>
      <c r="W312" t="e">
        <f t="shared" si="138"/>
        <v>#N/A</v>
      </c>
      <c r="X312" t="e">
        <f t="shared" si="139"/>
        <v>#N/A</v>
      </c>
    </row>
    <row r="313" spans="1:24" x14ac:dyDescent="0.55000000000000004">
      <c r="A313">
        <v>30</v>
      </c>
      <c r="D313" s="87" t="str">
        <f t="shared" si="134"/>
        <v>0u0</v>
      </c>
      <c r="E313" t="str">
        <f t="shared" si="135"/>
        <v>u</v>
      </c>
      <c r="F313" t="e">
        <f t="shared" si="141"/>
        <v>#N/A</v>
      </c>
      <c r="P313">
        <v>92</v>
      </c>
      <c r="Q313" t="e">
        <f t="shared" si="136"/>
        <v>#N/A</v>
      </c>
      <c r="R313" t="e">
        <f t="shared" si="136"/>
        <v>#N/A</v>
      </c>
      <c r="S313" t="e">
        <f t="shared" si="136"/>
        <v>#N/A</v>
      </c>
      <c r="V313" t="e">
        <f t="shared" si="137"/>
        <v>#N/A</v>
      </c>
      <c r="W313" t="e">
        <f t="shared" si="138"/>
        <v>#N/A</v>
      </c>
      <c r="X313" t="e">
        <f t="shared" si="139"/>
        <v>#N/A</v>
      </c>
    </row>
    <row r="314" spans="1:24" x14ac:dyDescent="0.55000000000000004">
      <c r="A314">
        <v>31</v>
      </c>
      <c r="D314" s="87" t="str">
        <f t="shared" si="134"/>
        <v>0v0</v>
      </c>
      <c r="E314" t="str">
        <f t="shared" si="135"/>
        <v>v</v>
      </c>
      <c r="F314" t="e">
        <f t="shared" si="141"/>
        <v>#N/A</v>
      </c>
      <c r="P314">
        <v>93</v>
      </c>
      <c r="Q314" t="e">
        <f t="shared" si="136"/>
        <v>#N/A</v>
      </c>
      <c r="R314" t="e">
        <f t="shared" si="136"/>
        <v>#N/A</v>
      </c>
      <c r="S314" t="e">
        <f t="shared" si="136"/>
        <v>#N/A</v>
      </c>
      <c r="V314" t="e">
        <f t="shared" si="137"/>
        <v>#N/A</v>
      </c>
      <c r="W314" t="e">
        <f t="shared" si="138"/>
        <v>#N/A</v>
      </c>
      <c r="X314" t="e">
        <f t="shared" si="139"/>
        <v>#N/A</v>
      </c>
    </row>
    <row r="315" spans="1:24" x14ac:dyDescent="0.55000000000000004">
      <c r="A315">
        <v>32</v>
      </c>
      <c r="D315" s="87" t="str">
        <f t="shared" si="134"/>
        <v>0w0</v>
      </c>
      <c r="E315" t="str">
        <f t="shared" si="135"/>
        <v>w</v>
      </c>
      <c r="F315" t="e">
        <f t="shared" si="141"/>
        <v>#N/A</v>
      </c>
      <c r="P315">
        <v>94</v>
      </c>
      <c r="Q315" t="e">
        <f t="shared" si="136"/>
        <v>#N/A</v>
      </c>
      <c r="R315" t="e">
        <f t="shared" si="136"/>
        <v>#N/A</v>
      </c>
      <c r="S315" t="e">
        <f t="shared" si="136"/>
        <v>#N/A</v>
      </c>
      <c r="V315" t="e">
        <f t="shared" si="137"/>
        <v>#N/A</v>
      </c>
      <c r="W315" t="e">
        <f t="shared" si="138"/>
        <v>#N/A</v>
      </c>
      <c r="X315" t="e">
        <f t="shared" si="139"/>
        <v>#N/A</v>
      </c>
    </row>
    <row r="316" spans="1:24" x14ac:dyDescent="0.55000000000000004">
      <c r="A316">
        <v>33</v>
      </c>
      <c r="D316" s="87" t="str">
        <f t="shared" si="134"/>
        <v>0x0</v>
      </c>
      <c r="E316" t="str">
        <f t="shared" si="135"/>
        <v>x</v>
      </c>
      <c r="F316" t="e">
        <f t="shared" si="141"/>
        <v>#N/A</v>
      </c>
      <c r="P316">
        <v>95</v>
      </c>
      <c r="Q316" t="e">
        <f t="shared" si="136"/>
        <v>#N/A</v>
      </c>
      <c r="R316" t="e">
        <f t="shared" si="136"/>
        <v>#N/A</v>
      </c>
      <c r="S316" t="e">
        <f t="shared" si="136"/>
        <v>#N/A</v>
      </c>
      <c r="V316" t="e">
        <f t="shared" si="137"/>
        <v>#N/A</v>
      </c>
      <c r="W316" t="e">
        <f t="shared" si="138"/>
        <v>#N/A</v>
      </c>
      <c r="X316" t="e">
        <f t="shared" si="139"/>
        <v>#N/A</v>
      </c>
    </row>
    <row r="317" spans="1:24" x14ac:dyDescent="0.55000000000000004">
      <c r="A317">
        <v>34</v>
      </c>
      <c r="D317" s="87" t="str">
        <f t="shared" si="134"/>
        <v>0y0</v>
      </c>
      <c r="E317" t="str">
        <f t="shared" si="135"/>
        <v>y</v>
      </c>
      <c r="F317" t="e">
        <f t="shared" si="141"/>
        <v>#N/A</v>
      </c>
      <c r="P317">
        <v>96</v>
      </c>
      <c r="Q317" t="e">
        <f t="shared" si="136"/>
        <v>#N/A</v>
      </c>
      <c r="R317" t="e">
        <f t="shared" si="136"/>
        <v>#N/A</v>
      </c>
      <c r="S317" t="e">
        <f t="shared" si="136"/>
        <v>#N/A</v>
      </c>
      <c r="V317" t="e">
        <f t="shared" si="137"/>
        <v>#N/A</v>
      </c>
      <c r="W317" t="e">
        <f t="shared" si="138"/>
        <v>#N/A</v>
      </c>
      <c r="X317" t="e">
        <f t="shared" si="139"/>
        <v>#N/A</v>
      </c>
    </row>
    <row r="318" spans="1:24" x14ac:dyDescent="0.55000000000000004">
      <c r="A318">
        <v>35</v>
      </c>
      <c r="D318" s="87" t="str">
        <f t="shared" si="134"/>
        <v>0z0</v>
      </c>
      <c r="E318" t="str">
        <f t="shared" si="135"/>
        <v>z</v>
      </c>
      <c r="F318" t="e">
        <f t="shared" si="141"/>
        <v>#N/A</v>
      </c>
      <c r="P318">
        <v>97</v>
      </c>
      <c r="Q318" t="e">
        <f t="shared" si="136"/>
        <v>#N/A</v>
      </c>
      <c r="R318" t="e">
        <f t="shared" si="136"/>
        <v>#N/A</v>
      </c>
      <c r="S318" t="e">
        <f t="shared" si="136"/>
        <v>#N/A</v>
      </c>
      <c r="V318" t="e">
        <f t="shared" si="137"/>
        <v>#N/A</v>
      </c>
      <c r="W318" t="e">
        <f t="shared" si="138"/>
        <v>#N/A</v>
      </c>
      <c r="X318" t="e">
        <f t="shared" si="139"/>
        <v>#N/A</v>
      </c>
    </row>
    <row r="319" spans="1:24" x14ac:dyDescent="0.55000000000000004">
      <c r="A319">
        <v>36</v>
      </c>
      <c r="D319" s="87" t="str">
        <f t="shared" si="134"/>
        <v>0A0</v>
      </c>
      <c r="E319" t="str">
        <f t="shared" si="135"/>
        <v>A</v>
      </c>
      <c r="F319" t="e">
        <f t="shared" si="141"/>
        <v>#N/A</v>
      </c>
      <c r="P319">
        <v>98</v>
      </c>
      <c r="Q319" t="e">
        <f t="shared" si="136"/>
        <v>#N/A</v>
      </c>
      <c r="R319" t="e">
        <f t="shared" si="136"/>
        <v>#N/A</v>
      </c>
      <c r="S319" t="e">
        <f t="shared" si="136"/>
        <v>#N/A</v>
      </c>
      <c r="V319" t="e">
        <f t="shared" si="137"/>
        <v>#N/A</v>
      </c>
      <c r="W319" t="e">
        <f t="shared" si="138"/>
        <v>#N/A</v>
      </c>
      <c r="X319" t="e">
        <f t="shared" si="139"/>
        <v>#N/A</v>
      </c>
    </row>
    <row r="320" spans="1:24" x14ac:dyDescent="0.55000000000000004">
      <c r="A320">
        <v>37</v>
      </c>
      <c r="D320" s="87" t="str">
        <f t="shared" si="134"/>
        <v>0B0</v>
      </c>
      <c r="E320" t="str">
        <f t="shared" si="135"/>
        <v>B</v>
      </c>
      <c r="F320" t="e">
        <f t="shared" si="141"/>
        <v>#N/A</v>
      </c>
      <c r="P320">
        <v>99</v>
      </c>
      <c r="Q320" t="e">
        <f t="shared" si="136"/>
        <v>#N/A</v>
      </c>
      <c r="R320" t="e">
        <f t="shared" si="136"/>
        <v>#N/A</v>
      </c>
      <c r="S320" t="e">
        <f t="shared" si="136"/>
        <v>#N/A</v>
      </c>
      <c r="V320" t="e">
        <f t="shared" si="137"/>
        <v>#N/A</v>
      </c>
      <c r="W320" t="e">
        <f t="shared" si="138"/>
        <v>#N/A</v>
      </c>
      <c r="X320" t="e">
        <f t="shared" si="139"/>
        <v>#N/A</v>
      </c>
    </row>
    <row r="321" spans="1:24" x14ac:dyDescent="0.55000000000000004">
      <c r="A321">
        <v>38</v>
      </c>
      <c r="D321" s="87" t="str">
        <f t="shared" si="134"/>
        <v>0C0</v>
      </c>
      <c r="E321" t="str">
        <f t="shared" si="135"/>
        <v>C</v>
      </c>
      <c r="F321" t="e">
        <f t="shared" si="141"/>
        <v>#N/A</v>
      </c>
      <c r="P321">
        <v>100</v>
      </c>
      <c r="Q321" t="e">
        <f t="shared" si="136"/>
        <v>#N/A</v>
      </c>
      <c r="R321" t="e">
        <f t="shared" si="136"/>
        <v>#N/A</v>
      </c>
      <c r="S321" t="e">
        <f t="shared" si="136"/>
        <v>#N/A</v>
      </c>
      <c r="V321" t="e">
        <f t="shared" si="137"/>
        <v>#N/A</v>
      </c>
      <c r="W321" t="e">
        <f t="shared" si="138"/>
        <v>#N/A</v>
      </c>
      <c r="X321" t="e">
        <f t="shared" si="139"/>
        <v>#N/A</v>
      </c>
    </row>
    <row r="322" spans="1:24" x14ac:dyDescent="0.55000000000000004">
      <c r="A322">
        <v>39</v>
      </c>
      <c r="D322" s="87" t="str">
        <f t="shared" si="134"/>
        <v>0D0</v>
      </c>
      <c r="E322" t="str">
        <f t="shared" si="135"/>
        <v>D</v>
      </c>
      <c r="F322" t="e">
        <f t="shared" si="141"/>
        <v>#N/A</v>
      </c>
    </row>
    <row r="323" spans="1:24" x14ac:dyDescent="0.55000000000000004">
      <c r="A323">
        <v>40</v>
      </c>
      <c r="D323" s="87" t="str">
        <f t="shared" si="134"/>
        <v>0E0</v>
      </c>
      <c r="E323" t="str">
        <f t="shared" si="135"/>
        <v>E</v>
      </c>
      <c r="F323" t="e">
        <f t="shared" si="141"/>
        <v>#N/A</v>
      </c>
    </row>
    <row r="324" spans="1:24" x14ac:dyDescent="0.55000000000000004">
      <c r="A324">
        <v>41</v>
      </c>
      <c r="D324" s="87" t="str">
        <f t="shared" si="134"/>
        <v>0F0</v>
      </c>
      <c r="E324" t="str">
        <f t="shared" si="135"/>
        <v>F</v>
      </c>
      <c r="F324" t="e">
        <f t="shared" si="141"/>
        <v>#N/A</v>
      </c>
    </row>
    <row r="325" spans="1:24" x14ac:dyDescent="0.55000000000000004">
      <c r="A325">
        <v>42</v>
      </c>
      <c r="D325" s="87" t="str">
        <f t="shared" si="134"/>
        <v>0G0</v>
      </c>
      <c r="E325" t="str">
        <f t="shared" si="135"/>
        <v>G</v>
      </c>
      <c r="F325" t="e">
        <f t="shared" si="141"/>
        <v>#N/A</v>
      </c>
    </row>
    <row r="326" spans="1:24" x14ac:dyDescent="0.55000000000000004">
      <c r="A326">
        <v>43</v>
      </c>
      <c r="D326" s="87" t="str">
        <f t="shared" si="134"/>
        <v>0H0</v>
      </c>
      <c r="E326" t="str">
        <f t="shared" si="135"/>
        <v>H</v>
      </c>
      <c r="F326" t="e">
        <f t="shared" si="141"/>
        <v>#N/A</v>
      </c>
    </row>
    <row r="327" spans="1:24" x14ac:dyDescent="0.55000000000000004">
      <c r="A327">
        <v>44</v>
      </c>
      <c r="D327" s="87" t="str">
        <f t="shared" si="134"/>
        <v>0I0</v>
      </c>
      <c r="E327" t="str">
        <f t="shared" si="135"/>
        <v>I</v>
      </c>
      <c r="F327" t="e">
        <f t="shared" si="141"/>
        <v>#N/A</v>
      </c>
    </row>
    <row r="328" spans="1:24" x14ac:dyDescent="0.55000000000000004">
      <c r="A328">
        <v>45</v>
      </c>
      <c r="D328" s="87" t="str">
        <f t="shared" si="134"/>
        <v>0J0</v>
      </c>
      <c r="E328" t="str">
        <f t="shared" si="135"/>
        <v>J</v>
      </c>
      <c r="F328" t="e">
        <f t="shared" si="141"/>
        <v>#N/A</v>
      </c>
    </row>
    <row r="329" spans="1:24" x14ac:dyDescent="0.55000000000000004">
      <c r="A329">
        <v>46</v>
      </c>
      <c r="D329" s="87" t="str">
        <f t="shared" si="134"/>
        <v>0K0</v>
      </c>
      <c r="E329" t="str">
        <f t="shared" si="135"/>
        <v>K</v>
      </c>
      <c r="F329" t="e">
        <f t="shared" si="141"/>
        <v>#N/A</v>
      </c>
    </row>
    <row r="330" spans="1:24" x14ac:dyDescent="0.55000000000000004">
      <c r="A330">
        <v>47</v>
      </c>
      <c r="D330" s="87" t="str">
        <f t="shared" si="134"/>
        <v>0L0</v>
      </c>
      <c r="E330" t="str">
        <f t="shared" si="135"/>
        <v>L</v>
      </c>
      <c r="F330" t="e">
        <f t="shared" si="141"/>
        <v>#N/A</v>
      </c>
    </row>
    <row r="331" spans="1:24" x14ac:dyDescent="0.55000000000000004">
      <c r="A331">
        <v>48</v>
      </c>
      <c r="D331" s="87" t="str">
        <f t="shared" si="134"/>
        <v>0M0</v>
      </c>
      <c r="E331" t="str">
        <f t="shared" si="135"/>
        <v>M</v>
      </c>
      <c r="F331" t="e">
        <f t="shared" si="141"/>
        <v>#N/A</v>
      </c>
    </row>
    <row r="332" spans="1:24" x14ac:dyDescent="0.55000000000000004">
      <c r="A332">
        <v>49</v>
      </c>
      <c r="D332" s="87" t="str">
        <f t="shared" si="134"/>
        <v>0N0</v>
      </c>
      <c r="E332" t="str">
        <f t="shared" si="135"/>
        <v>N</v>
      </c>
      <c r="F332" t="e">
        <f t="shared" si="141"/>
        <v>#N/A</v>
      </c>
    </row>
    <row r="333" spans="1:24" x14ac:dyDescent="0.55000000000000004">
      <c r="A333">
        <v>50</v>
      </c>
      <c r="D333" s="87" t="str">
        <f t="shared" si="134"/>
        <v>0O0</v>
      </c>
      <c r="E333" t="str">
        <f t="shared" si="135"/>
        <v>O</v>
      </c>
      <c r="F333" t="e">
        <f t="shared" si="141"/>
        <v>#N/A</v>
      </c>
    </row>
    <row r="334" spans="1:24" x14ac:dyDescent="0.55000000000000004">
      <c r="A334">
        <v>51</v>
      </c>
      <c r="D334" s="87" t="str">
        <f t="shared" si="134"/>
        <v>0P0</v>
      </c>
      <c r="E334" t="str">
        <f t="shared" si="135"/>
        <v>P</v>
      </c>
      <c r="F334" t="e">
        <f t="shared" si="141"/>
        <v>#N/A</v>
      </c>
    </row>
    <row r="335" spans="1:24" x14ac:dyDescent="0.55000000000000004">
      <c r="A335">
        <v>52</v>
      </c>
      <c r="D335" s="87" t="str">
        <f t="shared" si="134"/>
        <v>0Q0</v>
      </c>
      <c r="E335" t="str">
        <f t="shared" si="135"/>
        <v>Q</v>
      </c>
      <c r="F335" t="e">
        <f t="shared" si="141"/>
        <v>#N/A</v>
      </c>
    </row>
    <row r="336" spans="1:24" x14ac:dyDescent="0.55000000000000004">
      <c r="A336">
        <v>53</v>
      </c>
      <c r="D336" s="87" t="str">
        <f t="shared" si="134"/>
        <v>0R0</v>
      </c>
      <c r="E336" t="str">
        <f t="shared" si="135"/>
        <v>R</v>
      </c>
      <c r="F336" t="e">
        <f t="shared" si="141"/>
        <v>#N/A</v>
      </c>
    </row>
    <row r="337" spans="1:6" x14ac:dyDescent="0.55000000000000004">
      <c r="A337">
        <v>54</v>
      </c>
      <c r="D337" s="87" t="str">
        <f t="shared" si="134"/>
        <v>0S0</v>
      </c>
      <c r="E337" t="str">
        <f t="shared" si="135"/>
        <v>S</v>
      </c>
      <c r="F337" t="e">
        <f t="shared" si="141"/>
        <v>#N/A</v>
      </c>
    </row>
    <row r="338" spans="1:6" x14ac:dyDescent="0.55000000000000004">
      <c r="A338">
        <v>55</v>
      </c>
      <c r="D338" s="87" t="str">
        <f t="shared" si="134"/>
        <v>0T0</v>
      </c>
      <c r="E338" t="str">
        <f t="shared" si="135"/>
        <v>T</v>
      </c>
      <c r="F338" t="e">
        <f t="shared" si="141"/>
        <v>#N/A</v>
      </c>
    </row>
    <row r="339" spans="1:6" x14ac:dyDescent="0.55000000000000004">
      <c r="A339">
        <v>56</v>
      </c>
      <c r="D339" s="87" t="str">
        <f t="shared" si="134"/>
        <v>0U0</v>
      </c>
      <c r="E339" t="str">
        <f t="shared" si="135"/>
        <v>U</v>
      </c>
      <c r="F339" t="e">
        <f t="shared" si="141"/>
        <v>#N/A</v>
      </c>
    </row>
    <row r="340" spans="1:6" x14ac:dyDescent="0.55000000000000004">
      <c r="A340">
        <v>57</v>
      </c>
      <c r="D340" s="87" t="str">
        <f t="shared" si="134"/>
        <v>0V0</v>
      </c>
      <c r="E340" t="str">
        <f t="shared" si="135"/>
        <v>V</v>
      </c>
      <c r="F340" t="e">
        <f t="shared" si="141"/>
        <v>#N/A</v>
      </c>
    </row>
    <row r="341" spans="1:6" x14ac:dyDescent="0.55000000000000004">
      <c r="A341">
        <v>58</v>
      </c>
      <c r="D341" s="87" t="str">
        <f t="shared" si="134"/>
        <v>0W0</v>
      </c>
      <c r="E341" t="str">
        <f t="shared" si="135"/>
        <v>W</v>
      </c>
      <c r="F341" t="e">
        <f t="shared" si="141"/>
        <v>#N/A</v>
      </c>
    </row>
    <row r="342" spans="1:6" x14ac:dyDescent="0.55000000000000004">
      <c r="A342">
        <v>59</v>
      </c>
      <c r="D342" s="87" t="str">
        <f t="shared" si="134"/>
        <v>0X0</v>
      </c>
      <c r="E342" t="str">
        <f t="shared" si="135"/>
        <v>X</v>
      </c>
      <c r="F342" t="e">
        <f t="shared" si="141"/>
        <v>#N/A</v>
      </c>
    </row>
    <row r="343" spans="1:6" x14ac:dyDescent="0.55000000000000004">
      <c r="A343">
        <v>60</v>
      </c>
      <c r="D343" s="87" t="str">
        <f t="shared" si="134"/>
        <v>0Y0</v>
      </c>
      <c r="E343" t="str">
        <f t="shared" si="135"/>
        <v>Y</v>
      </c>
      <c r="F343" t="e">
        <f t="shared" si="141"/>
        <v>#N/A</v>
      </c>
    </row>
    <row r="344" spans="1:6" x14ac:dyDescent="0.55000000000000004">
      <c r="A344">
        <v>61</v>
      </c>
      <c r="D344" s="87" t="str">
        <f t="shared" si="134"/>
        <v>0Z0</v>
      </c>
      <c r="E344" t="str">
        <f t="shared" si="135"/>
        <v>Z</v>
      </c>
      <c r="F344" t="e">
        <f t="shared" si="141"/>
        <v>#N/A</v>
      </c>
    </row>
    <row r="345" spans="1:6" x14ac:dyDescent="0.55000000000000004">
      <c r="A345">
        <v>62</v>
      </c>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B22"/>
  <sheetViews>
    <sheetView workbookViewId="0"/>
  </sheetViews>
  <sheetFormatPr defaultRowHeight="18" x14ac:dyDescent="0.55000000000000004"/>
  <cols>
    <col min="5" max="16" width="7.25" customWidth="1"/>
    <col min="17" max="28" width="10" customWidth="1"/>
  </cols>
  <sheetData>
    <row r="1" spans="1:28" ht="15" customHeight="1" x14ac:dyDescent="0.55000000000000004">
      <c r="A1" s="107"/>
      <c r="B1" s="108"/>
      <c r="C1" s="108"/>
      <c r="D1" s="108"/>
      <c r="E1" s="118" t="e">
        <f>banana!E154</f>
        <v>#N/A</v>
      </c>
      <c r="F1" s="118" t="e">
        <f>banana!F154</f>
        <v>#N/A</v>
      </c>
      <c r="G1" s="118" t="e">
        <f>banana!G154</f>
        <v>#N/A</v>
      </c>
      <c r="H1" s="118" t="e">
        <f>banana!H154</f>
        <v>#N/A</v>
      </c>
      <c r="I1" s="118" t="e">
        <f>banana!I154</f>
        <v>#N/A</v>
      </c>
      <c r="J1" s="118" t="e">
        <f>banana!J154</f>
        <v>#N/A</v>
      </c>
      <c r="K1" s="118" t="e">
        <f>banana!K154</f>
        <v>#N/A</v>
      </c>
      <c r="L1" s="118" t="e">
        <f>banana!L154</f>
        <v>#N/A</v>
      </c>
      <c r="M1" s="118" t="e">
        <f>banana!M154</f>
        <v>#N/A</v>
      </c>
      <c r="N1" s="118" t="e">
        <f>banana!N154</f>
        <v>#N/A</v>
      </c>
      <c r="O1" s="118" t="e">
        <f>banana!O154</f>
        <v>#N/A</v>
      </c>
      <c r="P1" s="118" t="e">
        <f>banana!P154</f>
        <v>#N/A</v>
      </c>
      <c r="Q1" s="119" t="e">
        <f>E1</f>
        <v>#N/A</v>
      </c>
      <c r="R1" s="118" t="e">
        <f t="shared" ref="R1:AB1" si="0">F1</f>
        <v>#N/A</v>
      </c>
      <c r="S1" s="118" t="e">
        <f t="shared" si="0"/>
        <v>#N/A</v>
      </c>
      <c r="T1" s="118" t="e">
        <f t="shared" si="0"/>
        <v>#N/A</v>
      </c>
      <c r="U1" s="118" t="e">
        <f t="shared" si="0"/>
        <v>#N/A</v>
      </c>
      <c r="V1" s="118" t="e">
        <f t="shared" si="0"/>
        <v>#N/A</v>
      </c>
      <c r="W1" s="118" t="e">
        <f t="shared" si="0"/>
        <v>#N/A</v>
      </c>
      <c r="X1" s="118" t="e">
        <f t="shared" si="0"/>
        <v>#N/A</v>
      </c>
      <c r="Y1" s="118" t="e">
        <f t="shared" si="0"/>
        <v>#N/A</v>
      </c>
      <c r="Z1" s="118" t="e">
        <f t="shared" si="0"/>
        <v>#N/A</v>
      </c>
      <c r="AA1" s="118" t="e">
        <f t="shared" si="0"/>
        <v>#N/A</v>
      </c>
      <c r="AB1" s="120" t="e">
        <f t="shared" si="0"/>
        <v>#N/A</v>
      </c>
    </row>
    <row r="2" spans="1:28" ht="15" customHeight="1" x14ac:dyDescent="0.55000000000000004">
      <c r="A2" s="114" t="str">
        <f>banana!A155</f>
        <v>コース</v>
      </c>
      <c r="B2" s="115"/>
      <c r="C2" s="115"/>
      <c r="D2" s="115"/>
      <c r="E2" s="110" t="e">
        <f>banana!E155</f>
        <v>#N/A</v>
      </c>
      <c r="F2" s="110" t="e">
        <f>banana!F155</f>
        <v>#N/A</v>
      </c>
      <c r="G2" s="110" t="e">
        <f>banana!G155</f>
        <v>#N/A</v>
      </c>
      <c r="H2" s="110" t="e">
        <f>banana!H155</f>
        <v>#N/A</v>
      </c>
      <c r="I2" s="110" t="e">
        <f>banana!I155</f>
        <v>#N/A</v>
      </c>
      <c r="J2" s="110" t="e">
        <f>banana!J155</f>
        <v>#N/A</v>
      </c>
      <c r="K2" s="110" t="e">
        <f>banana!K155</f>
        <v>#N/A</v>
      </c>
      <c r="L2" s="110" t="e">
        <f>banana!L155</f>
        <v>#N/A</v>
      </c>
      <c r="M2" s="110" t="e">
        <f>banana!M155</f>
        <v>#N/A</v>
      </c>
      <c r="N2" s="110" t="e">
        <f>banana!N155</f>
        <v>#N/A</v>
      </c>
      <c r="O2" s="110" t="e">
        <f>banana!O155</f>
        <v>#N/A</v>
      </c>
      <c r="P2" s="110" t="e">
        <f>banana!P155</f>
        <v>#N/A</v>
      </c>
      <c r="Q2" s="113" t="e">
        <f>banana!E166</f>
        <v>#N/A</v>
      </c>
      <c r="R2" s="111" t="e">
        <f>banana!F166</f>
        <v>#N/A</v>
      </c>
      <c r="S2" s="111" t="e">
        <f>banana!G166</f>
        <v>#N/A</v>
      </c>
      <c r="T2" s="111" t="e">
        <f>banana!H166</f>
        <v>#N/A</v>
      </c>
      <c r="U2" s="111" t="e">
        <f>banana!I166</f>
        <v>#N/A</v>
      </c>
      <c r="V2" s="111" t="e">
        <f>banana!J166</f>
        <v>#N/A</v>
      </c>
      <c r="W2" s="111" t="e">
        <f>banana!K166</f>
        <v>#N/A</v>
      </c>
      <c r="X2" s="111" t="e">
        <f>banana!L166</f>
        <v>#N/A</v>
      </c>
      <c r="Y2" s="111" t="e">
        <f>banana!M166</f>
        <v>#N/A</v>
      </c>
      <c r="Z2" s="111" t="e">
        <f>banana!N166</f>
        <v>#N/A</v>
      </c>
      <c r="AA2" s="111" t="e">
        <f>banana!O166</f>
        <v>#N/A</v>
      </c>
      <c r="AB2" s="121" t="e">
        <f>banana!P166</f>
        <v>#N/A</v>
      </c>
    </row>
    <row r="3" spans="1:28" ht="15" customHeight="1" x14ac:dyDescent="0.55000000000000004">
      <c r="A3" s="114" t="str">
        <f>banana!A156</f>
        <v>専有追加 (192 CPU コア単位)</v>
      </c>
      <c r="B3" s="115"/>
      <c r="C3" s="115"/>
      <c r="D3" s="115"/>
      <c r="E3" s="111" t="e">
        <f>banana!E156</f>
        <v>#N/A</v>
      </c>
      <c r="F3" s="111" t="e">
        <f>banana!F156</f>
        <v>#N/A</v>
      </c>
      <c r="G3" s="111" t="e">
        <f>banana!G156</f>
        <v>#N/A</v>
      </c>
      <c r="H3" s="111" t="e">
        <f>banana!H156</f>
        <v>#N/A</v>
      </c>
      <c r="I3" s="111" t="e">
        <f>banana!I156</f>
        <v>#N/A</v>
      </c>
      <c r="J3" s="111" t="e">
        <f>banana!J156</f>
        <v>#N/A</v>
      </c>
      <c r="K3" s="111" t="e">
        <f>banana!K156</f>
        <v>#N/A</v>
      </c>
      <c r="L3" s="111" t="e">
        <f>banana!L156</f>
        <v>#N/A</v>
      </c>
      <c r="M3" s="111" t="e">
        <f>banana!M156</f>
        <v>#N/A</v>
      </c>
      <c r="N3" s="111" t="e">
        <f>banana!N156</f>
        <v>#N/A</v>
      </c>
      <c r="O3" s="111" t="e">
        <f>banana!O156</f>
        <v>#N/A</v>
      </c>
      <c r="P3" s="111" t="e">
        <f>banana!P156</f>
        <v>#N/A</v>
      </c>
      <c r="Q3" s="113" t="e">
        <f>banana!E167</f>
        <v>#N/A</v>
      </c>
      <c r="R3" s="111" t="e">
        <f>banana!F167</f>
        <v>#N/A</v>
      </c>
      <c r="S3" s="111" t="e">
        <f>banana!G167</f>
        <v>#N/A</v>
      </c>
      <c r="T3" s="111" t="e">
        <f>banana!H167</f>
        <v>#N/A</v>
      </c>
      <c r="U3" s="111" t="e">
        <f>banana!I167</f>
        <v>#N/A</v>
      </c>
      <c r="V3" s="111" t="e">
        <f>banana!J167</f>
        <v>#N/A</v>
      </c>
      <c r="W3" s="111" t="e">
        <f>banana!K167</f>
        <v>#N/A</v>
      </c>
      <c r="X3" s="111" t="e">
        <f>banana!L167</f>
        <v>#N/A</v>
      </c>
      <c r="Y3" s="111" t="e">
        <f>banana!M167</f>
        <v>#N/A</v>
      </c>
      <c r="Z3" s="111" t="e">
        <f>banana!N167</f>
        <v>#N/A</v>
      </c>
      <c r="AA3" s="111" t="e">
        <f>banana!O167</f>
        <v>#N/A</v>
      </c>
      <c r="AB3" s="121" t="e">
        <f>banana!P167</f>
        <v>#N/A</v>
      </c>
    </row>
    <row r="4" spans="1:28" ht="15" customHeight="1" x14ac:dyDescent="0.55000000000000004">
      <c r="A4" s="114" t="str">
        <f>banana!A157</f>
        <v>共有追加 (310 CPU コア単位)</v>
      </c>
      <c r="B4" s="115"/>
      <c r="C4" s="115"/>
      <c r="D4" s="115"/>
      <c r="E4" s="111" t="e">
        <f>banana!E157</f>
        <v>#N/A</v>
      </c>
      <c r="F4" s="111" t="e">
        <f>banana!F157</f>
        <v>#N/A</v>
      </c>
      <c r="G4" s="111" t="e">
        <f>banana!G157</f>
        <v>#N/A</v>
      </c>
      <c r="H4" s="111" t="e">
        <f>banana!H157</f>
        <v>#N/A</v>
      </c>
      <c r="I4" s="111" t="e">
        <f>banana!I157</f>
        <v>#N/A</v>
      </c>
      <c r="J4" s="111" t="e">
        <f>banana!J157</f>
        <v>#N/A</v>
      </c>
      <c r="K4" s="111" t="e">
        <f>banana!K157</f>
        <v>#N/A</v>
      </c>
      <c r="L4" s="111" t="e">
        <f>banana!L157</f>
        <v>#N/A</v>
      </c>
      <c r="M4" s="111" t="e">
        <f>banana!M157</f>
        <v>#N/A</v>
      </c>
      <c r="N4" s="111" t="e">
        <f>banana!N157</f>
        <v>#N/A</v>
      </c>
      <c r="O4" s="111" t="e">
        <f>banana!O157</f>
        <v>#N/A</v>
      </c>
      <c r="P4" s="111" t="e">
        <f>banana!P157</f>
        <v>#N/A</v>
      </c>
      <c r="Q4" s="113" t="e">
        <f>banana!E168</f>
        <v>#N/A</v>
      </c>
      <c r="R4" s="111" t="e">
        <f>banana!F168</f>
        <v>#N/A</v>
      </c>
      <c r="S4" s="111" t="e">
        <f>banana!G168</f>
        <v>#N/A</v>
      </c>
      <c r="T4" s="111" t="e">
        <f>banana!H168</f>
        <v>#N/A</v>
      </c>
      <c r="U4" s="111" t="e">
        <f>banana!I168</f>
        <v>#N/A</v>
      </c>
      <c r="V4" s="111" t="e">
        <f>banana!J168</f>
        <v>#N/A</v>
      </c>
      <c r="W4" s="111" t="e">
        <f>banana!K168</f>
        <v>#N/A</v>
      </c>
      <c r="X4" s="111" t="e">
        <f>banana!L168</f>
        <v>#N/A</v>
      </c>
      <c r="Y4" s="111" t="e">
        <f>banana!M168</f>
        <v>#N/A</v>
      </c>
      <c r="Z4" s="111" t="e">
        <f>banana!N168</f>
        <v>#N/A</v>
      </c>
      <c r="AA4" s="111" t="e">
        <f>banana!O168</f>
        <v>#N/A</v>
      </c>
      <c r="AB4" s="121" t="e">
        <f>banana!P168</f>
        <v>#N/A</v>
      </c>
    </row>
    <row r="5" spans="1:28" ht="15" customHeight="1" x14ac:dyDescent="0.55000000000000004">
      <c r="A5" s="114" t="str">
        <f>banana!A158</f>
        <v>計算ノード Fat 追加 (8 CPU コア単位)</v>
      </c>
      <c r="B5" s="115"/>
      <c r="C5" s="115"/>
      <c r="D5" s="115"/>
      <c r="E5" s="111" t="e">
        <f>banana!E158</f>
        <v>#N/A</v>
      </c>
      <c r="F5" s="111" t="e">
        <f>banana!F158</f>
        <v>#N/A</v>
      </c>
      <c r="G5" s="111" t="e">
        <f>banana!G158</f>
        <v>#N/A</v>
      </c>
      <c r="H5" s="111" t="e">
        <f>banana!H158</f>
        <v>#N/A</v>
      </c>
      <c r="I5" s="111" t="e">
        <f>banana!I158</f>
        <v>#N/A</v>
      </c>
      <c r="J5" s="111" t="e">
        <f>banana!J158</f>
        <v>#N/A</v>
      </c>
      <c r="K5" s="111" t="e">
        <f>banana!K158</f>
        <v>#N/A</v>
      </c>
      <c r="L5" s="111" t="e">
        <f>banana!L158</f>
        <v>#N/A</v>
      </c>
      <c r="M5" s="111" t="e">
        <f>banana!M158</f>
        <v>#N/A</v>
      </c>
      <c r="N5" s="111" t="e">
        <f>banana!N158</f>
        <v>#N/A</v>
      </c>
      <c r="O5" s="111" t="e">
        <f>banana!O158</f>
        <v>#N/A</v>
      </c>
      <c r="P5" s="111" t="e">
        <f>banana!P158</f>
        <v>#N/A</v>
      </c>
      <c r="Q5" s="113" t="e">
        <f>banana!E169</f>
        <v>#N/A</v>
      </c>
      <c r="R5" s="111" t="e">
        <f>banana!F169</f>
        <v>#N/A</v>
      </c>
      <c r="S5" s="111" t="e">
        <f>banana!G169</f>
        <v>#N/A</v>
      </c>
      <c r="T5" s="111" t="e">
        <f>banana!H169</f>
        <v>#N/A</v>
      </c>
      <c r="U5" s="111" t="e">
        <f>banana!I169</f>
        <v>#N/A</v>
      </c>
      <c r="V5" s="111" t="e">
        <f>banana!J169</f>
        <v>#N/A</v>
      </c>
      <c r="W5" s="111" t="e">
        <f>banana!K169</f>
        <v>#N/A</v>
      </c>
      <c r="X5" s="111" t="e">
        <f>banana!L169</f>
        <v>#N/A</v>
      </c>
      <c r="Y5" s="111" t="e">
        <f>banana!M169</f>
        <v>#N/A</v>
      </c>
      <c r="Z5" s="111" t="e">
        <f>banana!N169</f>
        <v>#N/A</v>
      </c>
      <c r="AA5" s="111" t="e">
        <f>banana!O169</f>
        <v>#N/A</v>
      </c>
      <c r="AB5" s="121" t="e">
        <f>banana!P169</f>
        <v>#N/A</v>
      </c>
    </row>
    <row r="6" spans="1:28" ht="15" customHeight="1" x14ac:dyDescent="0.55000000000000004">
      <c r="A6" s="114" t="str">
        <f>banana!A159</f>
        <v>アクセラレータ V100 追加 (1 GPU 単位)</v>
      </c>
      <c r="B6" s="115"/>
      <c r="C6" s="115"/>
      <c r="D6" s="115"/>
      <c r="E6" s="111" t="e">
        <f>banana!E159</f>
        <v>#N/A</v>
      </c>
      <c r="F6" s="111" t="e">
        <f>banana!F159</f>
        <v>#N/A</v>
      </c>
      <c r="G6" s="111" t="e">
        <f>banana!G159</f>
        <v>#N/A</v>
      </c>
      <c r="H6" s="111" t="e">
        <f>banana!H159</f>
        <v>#N/A</v>
      </c>
      <c r="I6" s="111" t="e">
        <f>banana!I159</f>
        <v>#N/A</v>
      </c>
      <c r="J6" s="111" t="e">
        <f>banana!J159</f>
        <v>#N/A</v>
      </c>
      <c r="K6" s="111" t="e">
        <f>banana!K159</f>
        <v>#N/A</v>
      </c>
      <c r="L6" s="111" t="e">
        <f>banana!L159</f>
        <v>#N/A</v>
      </c>
      <c r="M6" s="111" t="e">
        <f>banana!M159</f>
        <v>#N/A</v>
      </c>
      <c r="N6" s="111" t="e">
        <f>banana!N159</f>
        <v>#N/A</v>
      </c>
      <c r="O6" s="111" t="e">
        <f>banana!O159</f>
        <v>#N/A</v>
      </c>
      <c r="P6" s="111" t="e">
        <f>banana!P159</f>
        <v>#N/A</v>
      </c>
      <c r="Q6" s="113" t="e">
        <f>banana!E170</f>
        <v>#N/A</v>
      </c>
      <c r="R6" s="111" t="e">
        <f>banana!F170</f>
        <v>#N/A</v>
      </c>
      <c r="S6" s="111" t="e">
        <f>banana!G170</f>
        <v>#N/A</v>
      </c>
      <c r="T6" s="111" t="e">
        <f>banana!H170</f>
        <v>#N/A</v>
      </c>
      <c r="U6" s="111" t="e">
        <f>banana!I170</f>
        <v>#N/A</v>
      </c>
      <c r="V6" s="111" t="e">
        <f>banana!J170</f>
        <v>#N/A</v>
      </c>
      <c r="W6" s="111" t="e">
        <f>banana!K170</f>
        <v>#N/A</v>
      </c>
      <c r="X6" s="111" t="e">
        <f>banana!L170</f>
        <v>#N/A</v>
      </c>
      <c r="Y6" s="111" t="e">
        <f>banana!M170</f>
        <v>#N/A</v>
      </c>
      <c r="Z6" s="111" t="e">
        <f>banana!N170</f>
        <v>#N/A</v>
      </c>
      <c r="AA6" s="111" t="e">
        <f>banana!O170</f>
        <v>#N/A</v>
      </c>
      <c r="AB6" s="121" t="e">
        <f>banana!P170</f>
        <v>#N/A</v>
      </c>
    </row>
    <row r="7" spans="1:28" ht="15" customHeight="1" x14ac:dyDescent="0.55000000000000004">
      <c r="A7" s="114" t="str">
        <f>banana!A160</f>
        <v>アクセラレータ A100 追加 (1 GPU 単位)</v>
      </c>
      <c r="B7" s="115"/>
      <c r="C7" s="115"/>
      <c r="D7" s="115"/>
      <c r="E7" s="111" t="e">
        <f>banana!E160</f>
        <v>#N/A</v>
      </c>
      <c r="F7" s="111" t="e">
        <f>banana!F160</f>
        <v>#N/A</v>
      </c>
      <c r="G7" s="111" t="e">
        <f>banana!G160</f>
        <v>#N/A</v>
      </c>
      <c r="H7" s="111" t="e">
        <f>banana!H160</f>
        <v>#N/A</v>
      </c>
      <c r="I7" s="111" t="e">
        <f>banana!I160</f>
        <v>#N/A</v>
      </c>
      <c r="J7" s="111" t="e">
        <f>banana!J160</f>
        <v>#N/A</v>
      </c>
      <c r="K7" s="111" t="e">
        <f>banana!K160</f>
        <v>#N/A</v>
      </c>
      <c r="L7" s="111" t="e">
        <f>banana!L160</f>
        <v>#N/A</v>
      </c>
      <c r="M7" s="111" t="e">
        <f>banana!M160</f>
        <v>#N/A</v>
      </c>
      <c r="N7" s="111" t="e">
        <f>banana!N160</f>
        <v>#N/A</v>
      </c>
      <c r="O7" s="111" t="e">
        <f>banana!O160</f>
        <v>#N/A</v>
      </c>
      <c r="P7" s="111" t="e">
        <f>banana!P160</f>
        <v>#N/A</v>
      </c>
      <c r="Q7" s="113" t="e">
        <f>banana!E171</f>
        <v>#N/A</v>
      </c>
      <c r="R7" s="111" t="e">
        <f>banana!F171</f>
        <v>#N/A</v>
      </c>
      <c r="S7" s="111" t="e">
        <f>banana!G171</f>
        <v>#N/A</v>
      </c>
      <c r="T7" s="111" t="e">
        <f>banana!H171</f>
        <v>#N/A</v>
      </c>
      <c r="U7" s="111" t="e">
        <f>banana!I171</f>
        <v>#N/A</v>
      </c>
      <c r="V7" s="111" t="e">
        <f>banana!J171</f>
        <v>#N/A</v>
      </c>
      <c r="W7" s="111" t="e">
        <f>banana!K171</f>
        <v>#N/A</v>
      </c>
      <c r="X7" s="111" t="e">
        <f>banana!L171</f>
        <v>#N/A</v>
      </c>
      <c r="Y7" s="111" t="e">
        <f>banana!M171</f>
        <v>#N/A</v>
      </c>
      <c r="Z7" s="111" t="e">
        <f>banana!N171</f>
        <v>#N/A</v>
      </c>
      <c r="AA7" s="111" t="e">
        <f>banana!O171</f>
        <v>#N/A</v>
      </c>
      <c r="AB7" s="121" t="e">
        <f>banana!P171</f>
        <v>#N/A</v>
      </c>
    </row>
    <row r="8" spans="1:28" ht="15" customHeight="1" x14ac:dyDescent="0.55000000000000004">
      <c r="A8" s="114" t="str">
        <f>banana!A161</f>
        <v>アクセラレータ H100 追加 (1 GPU 単位)</v>
      </c>
      <c r="B8" s="115"/>
      <c r="C8" s="115"/>
      <c r="D8" s="115"/>
      <c r="E8" s="111" t="e">
        <f>banana!E161</f>
        <v>#N/A</v>
      </c>
      <c r="F8" s="111" t="e">
        <f>banana!F161</f>
        <v>#N/A</v>
      </c>
      <c r="G8" s="111" t="e">
        <f>banana!G161</f>
        <v>#N/A</v>
      </c>
      <c r="H8" s="111" t="e">
        <f>banana!H161</f>
        <v>#N/A</v>
      </c>
      <c r="I8" s="111" t="e">
        <f>banana!I161</f>
        <v>#N/A</v>
      </c>
      <c r="J8" s="111" t="e">
        <f>banana!J161</f>
        <v>#N/A</v>
      </c>
      <c r="K8" s="111" t="e">
        <f>banana!K161</f>
        <v>#N/A</v>
      </c>
      <c r="L8" s="111" t="e">
        <f>banana!L161</f>
        <v>#N/A</v>
      </c>
      <c r="M8" s="111" t="e">
        <f>banana!M161</f>
        <v>#N/A</v>
      </c>
      <c r="N8" s="111" t="e">
        <f>banana!N161</f>
        <v>#N/A</v>
      </c>
      <c r="O8" s="111" t="e">
        <f>banana!O161</f>
        <v>#N/A</v>
      </c>
      <c r="P8" s="111" t="e">
        <f>banana!P161</f>
        <v>#N/A</v>
      </c>
      <c r="Q8" s="113" t="e">
        <f>banana!E172</f>
        <v>#N/A</v>
      </c>
      <c r="R8" s="111" t="e">
        <f>banana!F172</f>
        <v>#N/A</v>
      </c>
      <c r="S8" s="111" t="e">
        <f>banana!G172</f>
        <v>#N/A</v>
      </c>
      <c r="T8" s="111" t="e">
        <f>banana!H172</f>
        <v>#N/A</v>
      </c>
      <c r="U8" s="111" t="e">
        <f>banana!I172</f>
        <v>#N/A</v>
      </c>
      <c r="V8" s="111" t="e">
        <f>banana!J172</f>
        <v>#N/A</v>
      </c>
      <c r="W8" s="111" t="e">
        <f>banana!K172</f>
        <v>#N/A</v>
      </c>
      <c r="X8" s="111" t="e">
        <f>banana!L172</f>
        <v>#N/A</v>
      </c>
      <c r="Y8" s="111" t="e">
        <f>banana!M172</f>
        <v>#N/A</v>
      </c>
      <c r="Z8" s="111" t="e">
        <f>banana!N172</f>
        <v>#N/A</v>
      </c>
      <c r="AA8" s="111" t="e">
        <f>banana!O172</f>
        <v>#N/A</v>
      </c>
      <c r="AB8" s="121" t="e">
        <f>banana!P172</f>
        <v>#N/A</v>
      </c>
    </row>
    <row r="9" spans="1:28" ht="15" customHeight="1" x14ac:dyDescent="0.55000000000000004">
      <c r="A9" s="114" t="str">
        <f>banana!A162</f>
        <v>ホーム Disk 容量追加 (1 TiB 単位)</v>
      </c>
      <c r="B9" s="115"/>
      <c r="C9" s="115"/>
      <c r="D9" s="115"/>
      <c r="E9" s="111" t="e">
        <f>banana!E162</f>
        <v>#N/A</v>
      </c>
      <c r="F9" s="111" t="e">
        <f>banana!F162</f>
        <v>#N/A</v>
      </c>
      <c r="G9" s="111" t="e">
        <f>banana!G162</f>
        <v>#N/A</v>
      </c>
      <c r="H9" s="111" t="e">
        <f>banana!H162</f>
        <v>#N/A</v>
      </c>
      <c r="I9" s="111" t="e">
        <f>banana!I162</f>
        <v>#N/A</v>
      </c>
      <c r="J9" s="111" t="e">
        <f>banana!J162</f>
        <v>#N/A</v>
      </c>
      <c r="K9" s="111" t="e">
        <f>banana!K162</f>
        <v>#N/A</v>
      </c>
      <c r="L9" s="111" t="e">
        <f>banana!L162</f>
        <v>#N/A</v>
      </c>
      <c r="M9" s="111" t="e">
        <f>banana!M162</f>
        <v>#N/A</v>
      </c>
      <c r="N9" s="111" t="e">
        <f>banana!N162</f>
        <v>#N/A</v>
      </c>
      <c r="O9" s="111" t="e">
        <f>banana!O162</f>
        <v>#N/A</v>
      </c>
      <c r="P9" s="111" t="e">
        <f>banana!P162</f>
        <v>#N/A</v>
      </c>
      <c r="Q9" s="113" t="e">
        <f>banana!E173</f>
        <v>#N/A</v>
      </c>
      <c r="R9" s="111" t="e">
        <f>banana!F173</f>
        <v>#N/A</v>
      </c>
      <c r="S9" s="111" t="e">
        <f>banana!G173</f>
        <v>#N/A</v>
      </c>
      <c r="T9" s="111" t="e">
        <f>banana!H173</f>
        <v>#N/A</v>
      </c>
      <c r="U9" s="111" t="e">
        <f>banana!I173</f>
        <v>#N/A</v>
      </c>
      <c r="V9" s="111" t="e">
        <f>banana!J173</f>
        <v>#N/A</v>
      </c>
      <c r="W9" s="111" t="e">
        <f>banana!K173</f>
        <v>#N/A</v>
      </c>
      <c r="X9" s="111" t="e">
        <f>banana!L173</f>
        <v>#N/A</v>
      </c>
      <c r="Y9" s="111" t="e">
        <f>banana!M173</f>
        <v>#N/A</v>
      </c>
      <c r="Z9" s="111" t="e">
        <f>banana!N173</f>
        <v>#N/A</v>
      </c>
      <c r="AA9" s="111" t="e">
        <f>banana!O173</f>
        <v>#N/A</v>
      </c>
      <c r="AB9" s="121" t="e">
        <f>banana!P173</f>
        <v>#N/A</v>
      </c>
    </row>
    <row r="10" spans="1:28" ht="15" customHeight="1" x14ac:dyDescent="0.55000000000000004">
      <c r="A10" s="114" t="str">
        <f>banana!A163</f>
        <v>アーカイブ Disk 追加 (1 TiB 単位)</v>
      </c>
      <c r="B10" s="115"/>
      <c r="C10" s="115"/>
      <c r="D10" s="115"/>
      <c r="E10" s="111" t="e">
        <f>banana!E163</f>
        <v>#N/A</v>
      </c>
      <c r="F10" s="111" t="e">
        <f>banana!F163</f>
        <v>#N/A</v>
      </c>
      <c r="G10" s="111" t="e">
        <f>banana!G163</f>
        <v>#N/A</v>
      </c>
      <c r="H10" s="111" t="e">
        <f>banana!H163</f>
        <v>#N/A</v>
      </c>
      <c r="I10" s="111" t="e">
        <f>banana!I163</f>
        <v>#N/A</v>
      </c>
      <c r="J10" s="111" t="e">
        <f>banana!J163</f>
        <v>#N/A</v>
      </c>
      <c r="K10" s="111" t="e">
        <f>banana!K163</f>
        <v>#N/A</v>
      </c>
      <c r="L10" s="111" t="e">
        <f>banana!L163</f>
        <v>#N/A</v>
      </c>
      <c r="M10" s="111" t="e">
        <f>banana!M163</f>
        <v>#N/A</v>
      </c>
      <c r="N10" s="111" t="e">
        <f>banana!N163</f>
        <v>#N/A</v>
      </c>
      <c r="O10" s="111" t="e">
        <f>banana!O163</f>
        <v>#N/A</v>
      </c>
      <c r="P10" s="111" t="e">
        <f>banana!P163</f>
        <v>#N/A</v>
      </c>
      <c r="Q10" s="113" t="e">
        <f>banana!E174</f>
        <v>#N/A</v>
      </c>
      <c r="R10" s="111" t="e">
        <f>banana!F174</f>
        <v>#N/A</v>
      </c>
      <c r="S10" s="111" t="e">
        <f>banana!G174</f>
        <v>#N/A</v>
      </c>
      <c r="T10" s="111" t="e">
        <f>banana!H174</f>
        <v>#N/A</v>
      </c>
      <c r="U10" s="111" t="e">
        <f>banana!I174</f>
        <v>#N/A</v>
      </c>
      <c r="V10" s="111" t="e">
        <f>banana!J174</f>
        <v>#N/A</v>
      </c>
      <c r="W10" s="111" t="e">
        <f>banana!K174</f>
        <v>#N/A</v>
      </c>
      <c r="X10" s="111" t="e">
        <f>banana!L174</f>
        <v>#N/A</v>
      </c>
      <c r="Y10" s="111" t="e">
        <f>banana!M174</f>
        <v>#N/A</v>
      </c>
      <c r="Z10" s="111" t="e">
        <f>banana!N174</f>
        <v>#N/A</v>
      </c>
      <c r="AA10" s="111" t="e">
        <f>banana!O174</f>
        <v>#N/A</v>
      </c>
      <c r="AB10" s="121" t="e">
        <f>banana!P174</f>
        <v>#N/A</v>
      </c>
    </row>
    <row r="11" spans="1:28" ht="15" customHeight="1" x14ac:dyDescent="0.55000000000000004">
      <c r="A11" s="114" t="str">
        <f>banana!A164</f>
        <v>サポートポイント【SP】</v>
      </c>
      <c r="B11" s="115"/>
      <c r="C11" s="115"/>
      <c r="D11" s="115"/>
      <c r="E11" s="122" t="e">
        <f>banana!E164</f>
        <v>#N/A</v>
      </c>
      <c r="F11" s="122" t="e">
        <f>banana!F164</f>
        <v>#N/A</v>
      </c>
      <c r="G11" s="122" t="e">
        <f>banana!G164</f>
        <v>#N/A</v>
      </c>
      <c r="H11" s="122" t="e">
        <f>banana!H164</f>
        <v>#N/A</v>
      </c>
      <c r="I11" s="122" t="e">
        <f>banana!I164</f>
        <v>#N/A</v>
      </c>
      <c r="J11" s="122" t="e">
        <f>banana!J164</f>
        <v>#N/A</v>
      </c>
      <c r="K11" s="122" t="e">
        <f>banana!K164</f>
        <v>#N/A</v>
      </c>
      <c r="L11" s="122" t="e">
        <f>banana!L164</f>
        <v>#N/A</v>
      </c>
      <c r="M11" s="122" t="e">
        <f>banana!M164</f>
        <v>#N/A</v>
      </c>
      <c r="N11" s="122" t="e">
        <f>banana!N164</f>
        <v>#N/A</v>
      </c>
      <c r="O11" s="122" t="e">
        <f>banana!O164</f>
        <v>#N/A</v>
      </c>
      <c r="P11" s="122" t="e">
        <f>banana!P164</f>
        <v>#N/A</v>
      </c>
      <c r="Q11" s="113" t="e">
        <f>banana!E175</f>
        <v>#N/A</v>
      </c>
      <c r="R11" s="111" t="e">
        <f>banana!F175</f>
        <v>#N/A</v>
      </c>
      <c r="S11" s="111" t="e">
        <f>banana!G175</f>
        <v>#N/A</v>
      </c>
      <c r="T11" s="111" t="e">
        <f>banana!H175</f>
        <v>#N/A</v>
      </c>
      <c r="U11" s="111" t="e">
        <f>banana!I175</f>
        <v>#N/A</v>
      </c>
      <c r="V11" s="111" t="e">
        <f>banana!J175</f>
        <v>#N/A</v>
      </c>
      <c r="W11" s="111" t="e">
        <f>banana!K175</f>
        <v>#N/A</v>
      </c>
      <c r="X11" s="111" t="e">
        <f>banana!L175</f>
        <v>#N/A</v>
      </c>
      <c r="Y11" s="111" t="e">
        <f>banana!M175</f>
        <v>#N/A</v>
      </c>
      <c r="Z11" s="111" t="e">
        <f>banana!N175</f>
        <v>#N/A</v>
      </c>
      <c r="AA11" s="111" t="e">
        <f>banana!O175</f>
        <v>#N/A</v>
      </c>
      <c r="AB11" s="121" t="e">
        <f>banana!P175</f>
        <v>#N/A</v>
      </c>
    </row>
    <row r="12" spans="1:28" ht="15" customHeight="1" x14ac:dyDescent="0.55000000000000004">
      <c r="A12" s="109"/>
      <c r="B12" s="43"/>
      <c r="C12" s="43"/>
      <c r="D12" s="43"/>
      <c r="E12" s="123" t="e">
        <f>E1</f>
        <v>#N/A</v>
      </c>
      <c r="F12" s="123" t="e">
        <f t="shared" ref="F12:P12" si="1">F1</f>
        <v>#N/A</v>
      </c>
      <c r="G12" s="123" t="e">
        <f t="shared" si="1"/>
        <v>#N/A</v>
      </c>
      <c r="H12" s="123" t="e">
        <f t="shared" si="1"/>
        <v>#N/A</v>
      </c>
      <c r="I12" s="123" t="e">
        <f t="shared" si="1"/>
        <v>#N/A</v>
      </c>
      <c r="J12" s="123" t="e">
        <f t="shared" si="1"/>
        <v>#N/A</v>
      </c>
      <c r="K12" s="123" t="e">
        <f t="shared" si="1"/>
        <v>#N/A</v>
      </c>
      <c r="L12" s="123" t="e">
        <f t="shared" si="1"/>
        <v>#N/A</v>
      </c>
      <c r="M12" s="123" t="e">
        <f t="shared" si="1"/>
        <v>#N/A</v>
      </c>
      <c r="N12" s="123" t="e">
        <f t="shared" si="1"/>
        <v>#N/A</v>
      </c>
      <c r="O12" s="123" t="e">
        <f t="shared" si="1"/>
        <v>#N/A</v>
      </c>
      <c r="P12" s="124" t="e">
        <f t="shared" si="1"/>
        <v>#N/A</v>
      </c>
      <c r="Q12" s="125" t="e">
        <f>banana!E179</f>
        <v>#N/A</v>
      </c>
      <c r="R12" s="122" t="e">
        <f>banana!F179</f>
        <v>#N/A</v>
      </c>
      <c r="S12" s="122" t="e">
        <f>banana!G179</f>
        <v>#N/A</v>
      </c>
      <c r="T12" s="122" t="e">
        <f>banana!H179</f>
        <v>#N/A</v>
      </c>
      <c r="U12" s="122" t="e">
        <f>banana!I179</f>
        <v>#N/A</v>
      </c>
      <c r="V12" s="122" t="e">
        <f>banana!J179</f>
        <v>#N/A</v>
      </c>
      <c r="W12" s="122" t="e">
        <f>banana!K179</f>
        <v>#N/A</v>
      </c>
      <c r="X12" s="122" t="e">
        <f>banana!L179</f>
        <v>#N/A</v>
      </c>
      <c r="Y12" s="122" t="e">
        <f>banana!M179</f>
        <v>#N/A</v>
      </c>
      <c r="Z12" s="122" t="e">
        <f>banana!N179</f>
        <v>#N/A</v>
      </c>
      <c r="AA12" s="122" t="e">
        <f>banana!O179</f>
        <v>#N/A</v>
      </c>
      <c r="AB12" s="126" t="e">
        <f>banana!P179</f>
        <v>#N/A</v>
      </c>
    </row>
    <row r="13" spans="1:28" ht="15" customHeight="1" x14ac:dyDescent="0.55000000000000004">
      <c r="A13" s="114" t="str">
        <f>banana!A181</f>
        <v>合計メモリ量 (GB)</v>
      </c>
      <c r="B13" s="115"/>
      <c r="C13" s="115"/>
      <c r="D13" s="115"/>
      <c r="E13" s="111" t="e">
        <f>banana!E181</f>
        <v>#N/A</v>
      </c>
      <c r="F13" s="111" t="e">
        <f>banana!F181</f>
        <v>#N/A</v>
      </c>
      <c r="G13" s="111" t="e">
        <f>banana!G181</f>
        <v>#N/A</v>
      </c>
      <c r="H13" s="111" t="e">
        <f>banana!H181</f>
        <v>#N/A</v>
      </c>
      <c r="I13" s="111" t="e">
        <f>banana!I181</f>
        <v>#N/A</v>
      </c>
      <c r="J13" s="111" t="e">
        <f>banana!J181</f>
        <v>#N/A</v>
      </c>
      <c r="K13" s="111" t="e">
        <f>banana!K181</f>
        <v>#N/A</v>
      </c>
      <c r="L13" s="111" t="e">
        <f>banana!L181</f>
        <v>#N/A</v>
      </c>
      <c r="M13" s="111" t="e">
        <f>banana!M181</f>
        <v>#N/A</v>
      </c>
      <c r="N13" s="111" t="e">
        <f>banana!N181</f>
        <v>#N/A</v>
      </c>
      <c r="O13" s="111" t="e">
        <f>banana!O181</f>
        <v>#N/A</v>
      </c>
      <c r="P13" s="111" t="e">
        <f>banana!P181</f>
        <v>#N/A</v>
      </c>
      <c r="Q13" s="127"/>
      <c r="R13" s="26"/>
      <c r="S13" s="26"/>
      <c r="T13" s="26"/>
      <c r="U13" s="26"/>
      <c r="V13" s="26"/>
      <c r="W13" s="26"/>
      <c r="X13" s="26"/>
      <c r="Y13" s="26"/>
      <c r="Z13" s="26"/>
      <c r="AA13" s="26"/>
      <c r="AB13" s="26"/>
    </row>
    <row r="14" spans="1:28" ht="15" customHeight="1" x14ac:dyDescent="0.55000000000000004">
      <c r="A14" s="114" t="str">
        <f>banana!A182</f>
        <v>専有 CPU コア数</v>
      </c>
      <c r="B14" s="115"/>
      <c r="C14" s="115"/>
      <c r="D14" s="115"/>
      <c r="E14" s="111" t="e">
        <f>banana!E182</f>
        <v>#N/A</v>
      </c>
      <c r="F14" s="111" t="e">
        <f>banana!F182</f>
        <v>#N/A</v>
      </c>
      <c r="G14" s="111" t="e">
        <f>banana!G182</f>
        <v>#N/A</v>
      </c>
      <c r="H14" s="111" t="e">
        <f>banana!H182</f>
        <v>#N/A</v>
      </c>
      <c r="I14" s="111" t="e">
        <f>banana!I182</f>
        <v>#N/A</v>
      </c>
      <c r="J14" s="111" t="e">
        <f>banana!J182</f>
        <v>#N/A</v>
      </c>
      <c r="K14" s="111" t="e">
        <f>banana!K182</f>
        <v>#N/A</v>
      </c>
      <c r="L14" s="111" t="e">
        <f>banana!L182</f>
        <v>#N/A</v>
      </c>
      <c r="M14" s="111" t="e">
        <f>banana!M182</f>
        <v>#N/A</v>
      </c>
      <c r="N14" s="111" t="e">
        <f>banana!N182</f>
        <v>#N/A</v>
      </c>
      <c r="O14" s="111" t="e">
        <f>banana!O182</f>
        <v>#N/A</v>
      </c>
      <c r="P14" s="111" t="e">
        <f>banana!P182</f>
        <v>#N/A</v>
      </c>
      <c r="Q14" s="83"/>
      <c r="R14" s="14"/>
      <c r="S14" s="14"/>
      <c r="T14" s="14"/>
      <c r="U14" s="14"/>
      <c r="V14" s="14"/>
      <c r="W14" s="14"/>
      <c r="X14" s="14"/>
      <c r="Y14" s="14"/>
      <c r="Z14" s="14"/>
      <c r="AA14" s="14"/>
      <c r="AB14" s="14"/>
    </row>
    <row r="15" spans="1:28" ht="15" customHeight="1" x14ac:dyDescent="0.55000000000000004">
      <c r="A15" s="114" t="str">
        <f>banana!A183</f>
        <v>共有 CPU コア数</v>
      </c>
      <c r="B15" s="115"/>
      <c r="C15" s="115"/>
      <c r="D15" s="115"/>
      <c r="E15" s="111" t="e">
        <f>banana!E183</f>
        <v>#N/A</v>
      </c>
      <c r="F15" s="111" t="e">
        <f>banana!F183</f>
        <v>#N/A</v>
      </c>
      <c r="G15" s="111" t="e">
        <f>banana!G183</f>
        <v>#N/A</v>
      </c>
      <c r="H15" s="111" t="e">
        <f>banana!H183</f>
        <v>#N/A</v>
      </c>
      <c r="I15" s="111" t="e">
        <f>banana!I183</f>
        <v>#N/A</v>
      </c>
      <c r="J15" s="111" t="e">
        <f>banana!J183</f>
        <v>#N/A</v>
      </c>
      <c r="K15" s="111" t="e">
        <f>banana!K183</f>
        <v>#N/A</v>
      </c>
      <c r="L15" s="111" t="e">
        <f>banana!L183</f>
        <v>#N/A</v>
      </c>
      <c r="M15" s="111" t="e">
        <f>banana!M183</f>
        <v>#N/A</v>
      </c>
      <c r="N15" s="111" t="e">
        <f>banana!N183</f>
        <v>#N/A</v>
      </c>
      <c r="O15" s="111" t="e">
        <f>banana!O183</f>
        <v>#N/A</v>
      </c>
      <c r="P15" s="111" t="e">
        <f>banana!P183</f>
        <v>#N/A</v>
      </c>
      <c r="Q15" s="83"/>
      <c r="R15" s="14"/>
      <c r="S15" s="14"/>
      <c r="T15" s="14"/>
      <c r="U15" s="14"/>
      <c r="V15" s="14"/>
      <c r="W15" s="14"/>
      <c r="X15" s="14"/>
      <c r="Y15" s="14"/>
      <c r="Z15" s="14"/>
      <c r="AA15" s="14"/>
      <c r="AB15" s="14"/>
    </row>
    <row r="16" spans="1:28" ht="15" customHeight="1" x14ac:dyDescent="0.55000000000000004">
      <c r="A16" s="114" t="str">
        <f>banana!A184</f>
        <v>共有 Fat ノード CPU コア数</v>
      </c>
      <c r="B16" s="115"/>
      <c r="C16" s="115"/>
      <c r="D16" s="115"/>
      <c r="E16" s="111" t="e">
        <f>banana!E184</f>
        <v>#N/A</v>
      </c>
      <c r="F16" s="111" t="e">
        <f>banana!F184</f>
        <v>#N/A</v>
      </c>
      <c r="G16" s="111" t="e">
        <f>banana!G184</f>
        <v>#N/A</v>
      </c>
      <c r="H16" s="111" t="e">
        <f>banana!H184</f>
        <v>#N/A</v>
      </c>
      <c r="I16" s="111" t="e">
        <f>banana!I184</f>
        <v>#N/A</v>
      </c>
      <c r="J16" s="111" t="e">
        <f>banana!J184</f>
        <v>#N/A</v>
      </c>
      <c r="K16" s="111" t="e">
        <f>banana!K184</f>
        <v>#N/A</v>
      </c>
      <c r="L16" s="111" t="e">
        <f>banana!L184</f>
        <v>#N/A</v>
      </c>
      <c r="M16" s="111" t="e">
        <f>banana!M184</f>
        <v>#N/A</v>
      </c>
      <c r="N16" s="111" t="e">
        <f>banana!N184</f>
        <v>#N/A</v>
      </c>
      <c r="O16" s="111" t="e">
        <f>banana!O184</f>
        <v>#N/A</v>
      </c>
      <c r="P16" s="111" t="e">
        <f>banana!P184</f>
        <v>#N/A</v>
      </c>
      <c r="Q16" s="83"/>
      <c r="R16" s="14"/>
      <c r="S16" s="14"/>
      <c r="T16" s="14"/>
      <c r="U16" s="14"/>
      <c r="V16" s="14"/>
      <c r="W16" s="14"/>
      <c r="X16" s="14"/>
      <c r="Y16" s="14"/>
      <c r="Z16" s="14"/>
      <c r="AA16" s="14"/>
      <c r="AB16" s="14"/>
    </row>
    <row r="17" spans="1:28" ht="15" customHeight="1" x14ac:dyDescent="0.55000000000000004">
      <c r="A17" s="114" t="str">
        <f>banana!A185</f>
        <v>V100 GPU 数</v>
      </c>
      <c r="B17" s="115"/>
      <c r="C17" s="115"/>
      <c r="D17" s="115"/>
      <c r="E17" s="111" t="e">
        <f>banana!E185</f>
        <v>#N/A</v>
      </c>
      <c r="F17" s="111" t="e">
        <f>banana!F185</f>
        <v>#N/A</v>
      </c>
      <c r="G17" s="111" t="e">
        <f>banana!G185</f>
        <v>#N/A</v>
      </c>
      <c r="H17" s="111" t="e">
        <f>banana!H185</f>
        <v>#N/A</v>
      </c>
      <c r="I17" s="111" t="e">
        <f>banana!I185</f>
        <v>#N/A</v>
      </c>
      <c r="J17" s="111" t="e">
        <f>banana!J185</f>
        <v>#N/A</v>
      </c>
      <c r="K17" s="111" t="e">
        <f>banana!K185</f>
        <v>#N/A</v>
      </c>
      <c r="L17" s="111" t="e">
        <f>banana!L185</f>
        <v>#N/A</v>
      </c>
      <c r="M17" s="111" t="e">
        <f>banana!M185</f>
        <v>#N/A</v>
      </c>
      <c r="N17" s="111" t="e">
        <f>banana!N185</f>
        <v>#N/A</v>
      </c>
      <c r="O17" s="111" t="e">
        <f>banana!O185</f>
        <v>#N/A</v>
      </c>
      <c r="P17" s="111" t="e">
        <f>banana!P185</f>
        <v>#N/A</v>
      </c>
      <c r="Q17" s="83"/>
      <c r="R17" s="14"/>
      <c r="S17" s="14"/>
      <c r="T17" s="14"/>
      <c r="U17" s="14"/>
      <c r="V17" s="14"/>
      <c r="W17" s="14"/>
      <c r="X17" s="14"/>
      <c r="Y17" s="14"/>
      <c r="Z17" s="14"/>
      <c r="AA17" s="14"/>
      <c r="AB17" s="14"/>
    </row>
    <row r="18" spans="1:28" ht="15" customHeight="1" x14ac:dyDescent="0.55000000000000004">
      <c r="A18" s="114" t="str">
        <f>banana!A186</f>
        <v>A100 GPU 数</v>
      </c>
      <c r="B18" s="115"/>
      <c r="C18" s="115"/>
      <c r="D18" s="115"/>
      <c r="E18" s="111" t="e">
        <f>banana!E186</f>
        <v>#N/A</v>
      </c>
      <c r="F18" s="111" t="e">
        <f>banana!F186</f>
        <v>#N/A</v>
      </c>
      <c r="G18" s="111" t="e">
        <f>banana!G186</f>
        <v>#N/A</v>
      </c>
      <c r="H18" s="111" t="e">
        <f>banana!H186</f>
        <v>#N/A</v>
      </c>
      <c r="I18" s="111" t="e">
        <f>banana!I186</f>
        <v>#N/A</v>
      </c>
      <c r="J18" s="111" t="e">
        <f>banana!J186</f>
        <v>#N/A</v>
      </c>
      <c r="K18" s="111" t="e">
        <f>banana!K186</f>
        <v>#N/A</v>
      </c>
      <c r="L18" s="111" t="e">
        <f>banana!L186</f>
        <v>#N/A</v>
      </c>
      <c r="M18" s="111" t="e">
        <f>banana!M186</f>
        <v>#N/A</v>
      </c>
      <c r="N18" s="111" t="e">
        <f>banana!N186</f>
        <v>#N/A</v>
      </c>
      <c r="O18" s="111" t="e">
        <f>banana!O186</f>
        <v>#N/A</v>
      </c>
      <c r="P18" s="111" t="e">
        <f>banana!P186</f>
        <v>#N/A</v>
      </c>
      <c r="Q18" s="83"/>
      <c r="R18" s="14"/>
      <c r="S18" s="14"/>
      <c r="T18" s="14"/>
      <c r="U18" s="14"/>
      <c r="V18" s="14"/>
      <c r="W18" s="14"/>
      <c r="X18" s="14"/>
      <c r="Y18" s="14"/>
      <c r="Z18" s="14"/>
      <c r="AA18" s="14"/>
      <c r="AB18" s="14"/>
    </row>
    <row r="19" spans="1:28" ht="15" customHeight="1" x14ac:dyDescent="0.55000000000000004">
      <c r="A19" s="114" t="str">
        <f>banana!A187</f>
        <v>H100 GPU 数</v>
      </c>
      <c r="B19" s="115"/>
      <c r="C19" s="115"/>
      <c r="D19" s="115"/>
      <c r="E19" s="111" t="e">
        <f>banana!E187</f>
        <v>#N/A</v>
      </c>
      <c r="F19" s="111" t="e">
        <f>banana!F187</f>
        <v>#N/A</v>
      </c>
      <c r="G19" s="111" t="e">
        <f>banana!G187</f>
        <v>#N/A</v>
      </c>
      <c r="H19" s="111" t="e">
        <f>banana!H187</f>
        <v>#N/A</v>
      </c>
      <c r="I19" s="111" t="e">
        <f>banana!I187</f>
        <v>#N/A</v>
      </c>
      <c r="J19" s="111" t="e">
        <f>banana!J187</f>
        <v>#N/A</v>
      </c>
      <c r="K19" s="111" t="e">
        <f>banana!K187</f>
        <v>#N/A</v>
      </c>
      <c r="L19" s="111" t="e">
        <f>banana!L187</f>
        <v>#N/A</v>
      </c>
      <c r="M19" s="111" t="e">
        <f>banana!M187</f>
        <v>#N/A</v>
      </c>
      <c r="N19" s="111" t="e">
        <f>banana!N187</f>
        <v>#N/A</v>
      </c>
      <c r="O19" s="111" t="e">
        <f>banana!O187</f>
        <v>#N/A</v>
      </c>
      <c r="P19" s="111" t="e">
        <f>banana!P187</f>
        <v>#N/A</v>
      </c>
      <c r="Q19" s="83"/>
      <c r="R19" s="14"/>
      <c r="S19" s="14"/>
      <c r="T19" s="14"/>
      <c r="U19" s="14"/>
      <c r="V19" s="14"/>
      <c r="W19" s="14"/>
      <c r="X19" s="14"/>
      <c r="Y19" s="14"/>
      <c r="Z19" s="14"/>
      <c r="AA19" s="14"/>
      <c r="AB19" s="14"/>
    </row>
    <row r="20" spans="1:28" ht="15" customHeight="1" x14ac:dyDescent="0.55000000000000004">
      <c r="A20" s="114" t="str">
        <f>banana!A188</f>
        <v>ホーム Disk</v>
      </c>
      <c r="B20" s="115" t="str">
        <f>banana!B188</f>
        <v>容量 (TiB)</v>
      </c>
      <c r="C20" s="115"/>
      <c r="D20" s="115"/>
      <c r="E20" s="111" t="e">
        <f>banana!E188</f>
        <v>#N/A</v>
      </c>
      <c r="F20" s="111" t="e">
        <f>banana!F188</f>
        <v>#N/A</v>
      </c>
      <c r="G20" s="111" t="e">
        <f>banana!G188</f>
        <v>#N/A</v>
      </c>
      <c r="H20" s="111" t="e">
        <f>banana!H188</f>
        <v>#N/A</v>
      </c>
      <c r="I20" s="111" t="e">
        <f>banana!I188</f>
        <v>#N/A</v>
      </c>
      <c r="J20" s="111" t="e">
        <f>banana!J188</f>
        <v>#N/A</v>
      </c>
      <c r="K20" s="111" t="e">
        <f>banana!K188</f>
        <v>#N/A</v>
      </c>
      <c r="L20" s="111" t="e">
        <f>banana!L188</f>
        <v>#N/A</v>
      </c>
      <c r="M20" s="111" t="e">
        <f>banana!M188</f>
        <v>#N/A</v>
      </c>
      <c r="N20" s="111" t="e">
        <f>banana!N188</f>
        <v>#N/A</v>
      </c>
      <c r="O20" s="111" t="e">
        <f>banana!O188</f>
        <v>#N/A</v>
      </c>
      <c r="P20" s="111" t="e">
        <f>banana!P188</f>
        <v>#N/A</v>
      </c>
      <c r="Q20" s="83"/>
      <c r="R20" s="14"/>
      <c r="S20" s="14"/>
      <c r="T20" s="14"/>
      <c r="U20" s="14"/>
      <c r="V20" s="14"/>
      <c r="W20" s="14"/>
      <c r="X20" s="14"/>
      <c r="Y20" s="14"/>
      <c r="Z20" s="14"/>
      <c r="AA20" s="14"/>
      <c r="AB20" s="14"/>
    </row>
    <row r="21" spans="1:28" ht="15" customHeight="1" x14ac:dyDescent="0.55000000000000004">
      <c r="A21" s="114"/>
      <c r="B21" s="115" t="str">
        <f>banana!B189</f>
        <v>ファイル数 (百万)</v>
      </c>
      <c r="C21" s="115"/>
      <c r="D21" s="115"/>
      <c r="E21" s="111" t="e">
        <f>banana!E189</f>
        <v>#N/A</v>
      </c>
      <c r="F21" s="111" t="e">
        <f>banana!F189</f>
        <v>#N/A</v>
      </c>
      <c r="G21" s="111" t="e">
        <f>banana!G189</f>
        <v>#N/A</v>
      </c>
      <c r="H21" s="111" t="e">
        <f>banana!H189</f>
        <v>#N/A</v>
      </c>
      <c r="I21" s="111" t="e">
        <f>banana!I189</f>
        <v>#N/A</v>
      </c>
      <c r="J21" s="111" t="e">
        <f>banana!J189</f>
        <v>#N/A</v>
      </c>
      <c r="K21" s="111" t="e">
        <f>banana!K189</f>
        <v>#N/A</v>
      </c>
      <c r="L21" s="111" t="e">
        <f>banana!L189</f>
        <v>#N/A</v>
      </c>
      <c r="M21" s="111" t="e">
        <f>banana!M189</f>
        <v>#N/A</v>
      </c>
      <c r="N21" s="111" t="e">
        <f>banana!N189</f>
        <v>#N/A</v>
      </c>
      <c r="O21" s="111" t="e">
        <f>banana!O189</f>
        <v>#N/A</v>
      </c>
      <c r="P21" s="111" t="e">
        <f>banana!P189</f>
        <v>#N/A</v>
      </c>
      <c r="Q21" s="83"/>
      <c r="R21" s="14"/>
      <c r="S21" s="14"/>
      <c r="T21" s="14"/>
      <c r="U21" s="14"/>
      <c r="V21" s="14"/>
      <c r="W21" s="14"/>
      <c r="X21" s="14"/>
      <c r="Y21" s="14"/>
      <c r="Z21" s="14"/>
      <c r="AA21" s="14"/>
      <c r="AB21" s="14"/>
    </row>
    <row r="22" spans="1:28" ht="15" customHeight="1" x14ac:dyDescent="0.55000000000000004">
      <c r="A22" s="116" t="str">
        <f>banana!A190</f>
        <v>アーカイブ Disk 容量 (TiB)</v>
      </c>
      <c r="B22" s="117"/>
      <c r="C22" s="117"/>
      <c r="D22" s="117"/>
      <c r="E22" s="112" t="e">
        <f>banana!E190</f>
        <v>#N/A</v>
      </c>
      <c r="F22" s="112" t="e">
        <f>banana!F190</f>
        <v>#N/A</v>
      </c>
      <c r="G22" s="112" t="e">
        <f>banana!G190</f>
        <v>#N/A</v>
      </c>
      <c r="H22" s="112" t="e">
        <f>banana!H190</f>
        <v>#N/A</v>
      </c>
      <c r="I22" s="112" t="e">
        <f>banana!I190</f>
        <v>#N/A</v>
      </c>
      <c r="J22" s="112" t="e">
        <f>banana!J190</f>
        <v>#N/A</v>
      </c>
      <c r="K22" s="112" t="e">
        <f>banana!K190</f>
        <v>#N/A</v>
      </c>
      <c r="L22" s="112" t="e">
        <f>banana!L190</f>
        <v>#N/A</v>
      </c>
      <c r="M22" s="112" t="e">
        <f>banana!M190</f>
        <v>#N/A</v>
      </c>
      <c r="N22" s="112" t="e">
        <f>banana!N190</f>
        <v>#N/A</v>
      </c>
      <c r="O22" s="112" t="e">
        <f>banana!O190</f>
        <v>#N/A</v>
      </c>
      <c r="P22" s="112" t="e">
        <f>banana!P190</f>
        <v>#N/A</v>
      </c>
      <c r="Q22" s="83"/>
      <c r="R22" s="14"/>
      <c r="S22" s="14"/>
      <c r="T22" s="14"/>
      <c r="U22" s="14"/>
      <c r="V22" s="14"/>
      <c r="W22" s="14"/>
      <c r="X22" s="14"/>
      <c r="Y22" s="14"/>
      <c r="Z22" s="14"/>
      <c r="AA22" s="14"/>
      <c r="AB22" s="14"/>
    </row>
  </sheetData>
  <sheetProtection sheet="1" objects="1" scenarios="1"/>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Normal="100" workbookViewId="0">
      <selection activeCell="D2" sqref="D2"/>
    </sheetView>
  </sheetViews>
  <sheetFormatPr defaultRowHeight="18" x14ac:dyDescent="0.55000000000000004"/>
  <cols>
    <col min="1" max="2" width="10.33203125" bestFit="1" customWidth="1"/>
    <col min="3" max="3" width="0.58203125" customWidth="1"/>
    <col min="4" max="4" width="26" customWidth="1"/>
    <col min="5" max="5" width="0.58203125" customWidth="1"/>
    <col min="6" max="6" width="15.33203125" customWidth="1"/>
  </cols>
  <sheetData>
    <row r="1" spans="1:6" x14ac:dyDescent="0.55000000000000004">
      <c r="D1" s="139" t="s">
        <v>147</v>
      </c>
      <c r="F1" s="139" t="s">
        <v>146</v>
      </c>
    </row>
    <row r="2" spans="1:6" ht="18" customHeight="1" x14ac:dyDescent="0.55000000000000004">
      <c r="A2" t="s">
        <v>124</v>
      </c>
      <c r="B2" t="s">
        <v>132</v>
      </c>
      <c r="C2" s="137"/>
      <c r="D2" s="185"/>
      <c r="F2" t="str">
        <f>A2</f>
        <v>見積書</v>
      </c>
    </row>
    <row r="3" spans="1:6" ht="18" customHeight="1" x14ac:dyDescent="0.55000000000000004">
      <c r="B3" t="s">
        <v>133</v>
      </c>
      <c r="C3" s="137"/>
      <c r="D3" s="185"/>
      <c r="F3">
        <f>BILLTO</f>
        <v>0</v>
      </c>
    </row>
    <row r="4" spans="1:6" ht="18" customHeight="1" x14ac:dyDescent="0.55000000000000004">
      <c r="B4" t="s">
        <v>167</v>
      </c>
      <c r="C4" s="137"/>
      <c r="D4" s="185"/>
      <c r="F4" t="str">
        <f>B4</f>
        <v>御中</v>
      </c>
    </row>
    <row r="5" spans="1:6" x14ac:dyDescent="0.55000000000000004">
      <c r="B5" t="s">
        <v>134</v>
      </c>
      <c r="D5" s="185"/>
      <c r="F5" s="138">
        <f>APPDATE</f>
        <v>0</v>
      </c>
    </row>
    <row r="6" spans="1:6" ht="18" customHeight="1" x14ac:dyDescent="0.55000000000000004">
      <c r="B6" t="s">
        <v>135</v>
      </c>
      <c r="D6" s="185"/>
      <c r="F6" t="s">
        <v>145</v>
      </c>
    </row>
    <row r="7" spans="1:6" ht="18.649999999999999" customHeight="1" x14ac:dyDescent="0.55000000000000004">
      <c r="B7" t="s">
        <v>136</v>
      </c>
      <c r="D7" s="185"/>
      <c r="F7" t="s">
        <v>144</v>
      </c>
    </row>
    <row r="9" spans="1:6" ht="18.649999999999999" customHeight="1" x14ac:dyDescent="0.55000000000000004">
      <c r="A9" t="s">
        <v>137</v>
      </c>
      <c r="B9" t="s">
        <v>132</v>
      </c>
      <c r="C9" s="137"/>
      <c r="D9" s="185"/>
      <c r="F9" t="str">
        <f>A9</f>
        <v>請求明細書</v>
      </c>
    </row>
    <row r="10" spans="1:6" ht="18.649999999999999" customHeight="1" x14ac:dyDescent="0.55000000000000004">
      <c r="A10" t="s">
        <v>161</v>
      </c>
      <c r="B10" t="s">
        <v>132</v>
      </c>
      <c r="C10" s="137"/>
      <c r="D10" s="185"/>
      <c r="F10" t="str">
        <f>A10</f>
        <v>利用明細書</v>
      </c>
    </row>
    <row r="11" spans="1:6" ht="18.649999999999999" customHeight="1" x14ac:dyDescent="0.55000000000000004">
      <c r="B11" t="s">
        <v>138</v>
      </c>
      <c r="C11" s="137"/>
      <c r="D11" s="185"/>
      <c r="F11">
        <f>BILLTO</f>
        <v>0</v>
      </c>
    </row>
    <row r="12" spans="1:6" ht="18.649999999999999" customHeight="1" x14ac:dyDescent="0.55000000000000004">
      <c r="B12" t="s">
        <v>167</v>
      </c>
      <c r="C12" s="137"/>
      <c r="D12" s="185"/>
      <c r="F12" t="str">
        <f>B12</f>
        <v>御中</v>
      </c>
    </row>
    <row r="13" spans="1:6" x14ac:dyDescent="0.55000000000000004">
      <c r="B13" t="s">
        <v>139</v>
      </c>
      <c r="D13" s="185"/>
      <c r="F13" t="b">
        <f>IF(EXACT(BILLSEND,banana!$A$29),BILLSENDEX,IF(EXACT(BILLSEND,banana!$A$28),FINAPOST&amp;" "&amp;FINAADDR&amp;" "&amp;FINAAFFI&amp;" "&amp;FINANAME,IF(EXACT(BILLSEND,banana!$A$27),PONUPOST&amp;" "&amp;PONUADDR&amp;" "&amp;PONUAFFI&amp;" "&amp;PONUNAME,IF(EXACT(BILLSEND,banana!$A$26),REPUPOST&amp;" "&amp;REPUADDR&amp;" "&amp;REPUAFFI&amp;" "&amp;REPUNAME,IF(EXACT(BILLSEND,banana!$B$29),BILLSENDEX,IF(EXACT(BILLSEND,banana!$B$28),FINAPOST&amp;" "&amp;FINAADDR&amp;" "&amp;FINAAFFI&amp;" "&amp;FINANAME,IF(EXACT(BILLSEND,banana!$B$27),PONUPOST&amp;" "&amp;PONUADDR&amp;" "&amp;PONUAFFI&amp;" "&amp;PONUNAME,IF(EXACT(BILLSEND,banana!$B$26),REPUPOST&amp;" "&amp;REPUADDR&amp;" "&amp;REPUAFFI&amp;" "&amp;REPUNAME))))))))</f>
        <v>0</v>
      </c>
    </row>
    <row r="14" spans="1:6" x14ac:dyDescent="0.55000000000000004">
      <c r="B14" t="s">
        <v>168</v>
      </c>
      <c r="D14" s="185"/>
      <c r="F14" t="str">
        <f>B14</f>
        <v>様</v>
      </c>
    </row>
    <row r="15" spans="1:6" x14ac:dyDescent="0.55000000000000004">
      <c r="B15" t="s">
        <v>140</v>
      </c>
      <c r="D15" s="185"/>
      <c r="F15" t="b">
        <f>IF(EXACT(BILLSEND,banana!$A$29),FINATEL,IF(EXACT(BILLSEND,banana!$A$28),FINATEL,IF(EXACT(BILLSEND,banana!$A$27),PONUTEL,IF(EXACT(BILLSEND,banana!$A$26),REPUTEL,IF(EXACT(BILLSEND,banana!$B$29),FINATEL,IF(EXACT(BILLSEND,banana!$B$28),FINATEL,IF(EXACT(BILLSEND,banana!$B$27),PONUTEL,IF(EXACT(BILLSEND,banana!$B$26),REPUTEL))))))))</f>
        <v>0</v>
      </c>
    </row>
    <row r="16" spans="1:6" x14ac:dyDescent="0.55000000000000004">
      <c r="B16" t="s">
        <v>141</v>
      </c>
      <c r="D16" s="185"/>
      <c r="F16" t="str">
        <f>" "</f>
        <v xml:space="preserve"> </v>
      </c>
    </row>
    <row r="17" spans="1:7" x14ac:dyDescent="0.55000000000000004">
      <c r="B17" t="s">
        <v>142</v>
      </c>
      <c r="D17" s="185"/>
      <c r="F17" t="s">
        <v>148</v>
      </c>
    </row>
    <row r="18" spans="1:7" x14ac:dyDescent="0.55000000000000004">
      <c r="B18" t="s">
        <v>149</v>
      </c>
      <c r="D18" s="185"/>
      <c r="F18" t="b">
        <f>IF(EXACT(BILLFORM,banana!$A$31),banana!$A$31,IF(EXACT(BILLFORM,banana!$B$31),banana!$A$31,IF(EXACT(BILLFORM,banana!$A$32),banana!$A$32,IF(EXACT(BILLFORM,banana!$B$32),banana!$A$32))))</f>
        <v>0</v>
      </c>
    </row>
    <row r="19" spans="1:7" x14ac:dyDescent="0.55000000000000004">
      <c r="B19" t="s">
        <v>143</v>
      </c>
      <c r="D19" s="185"/>
      <c r="F19" t="str">
        <f>IF(D7&lt;&gt;"",D7,F7)</f>
        <v>請求日から 30 日以内</v>
      </c>
    </row>
    <row r="20" spans="1:7" ht="72.650000000000006" customHeight="1" x14ac:dyDescent="0.55000000000000004">
      <c r="B20" t="s">
        <v>150</v>
      </c>
      <c r="D20" s="186"/>
      <c r="F20">
        <f>BILLNOTE</f>
        <v>0</v>
      </c>
    </row>
    <row r="21" spans="1:7" x14ac:dyDescent="0.55000000000000004">
      <c r="B21" t="s">
        <v>134</v>
      </c>
      <c r="D21" s="185"/>
      <c r="F21" s="138">
        <f>APPDATE</f>
        <v>0</v>
      </c>
    </row>
    <row r="22" spans="1:7" ht="18" customHeight="1" x14ac:dyDescent="0.55000000000000004">
      <c r="A22" s="187" t="s">
        <v>171</v>
      </c>
      <c r="B22" t="s">
        <v>170</v>
      </c>
      <c r="D22" s="186"/>
      <c r="F22" t="s">
        <v>172</v>
      </c>
      <c r="G22" t="s">
        <v>174</v>
      </c>
    </row>
    <row r="23" spans="1:7" ht="18" customHeight="1" x14ac:dyDescent="0.55000000000000004">
      <c r="A23" s="187" t="s">
        <v>171</v>
      </c>
      <c r="B23" t="s">
        <v>169</v>
      </c>
      <c r="D23" s="186"/>
      <c r="F23" t="s">
        <v>173</v>
      </c>
      <c r="G23" t="s">
        <v>174</v>
      </c>
    </row>
    <row r="24" spans="1:7" x14ac:dyDescent="0.55000000000000004">
      <c r="A24" s="145" t="s">
        <v>164</v>
      </c>
      <c r="B24" t="s">
        <v>162</v>
      </c>
      <c r="D24" s="186"/>
      <c r="F24" t="e">
        <f>banana!E154</f>
        <v>#N/A</v>
      </c>
      <c r="G24" t="e">
        <f>MATCH(IF('C'!D24&lt;&gt;"",'C'!D24,'C'!F24),banana!E154:P154,0)</f>
        <v>#N/A</v>
      </c>
    </row>
    <row r="25" spans="1:7" x14ac:dyDescent="0.55000000000000004">
      <c r="F25" t="s">
        <v>166</v>
      </c>
    </row>
  </sheetData>
  <phoneticPr fontId="2"/>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banana!$E$154:$P$154</xm:f>
          </x14:formula1>
          <xm:sqref>D24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175</vt:i4>
      </vt:variant>
    </vt:vector>
  </HeadingPairs>
  <TitlesOfParts>
    <vt:vector size="189" baseType="lpstr">
      <vt:lpstr>Notes</vt:lpstr>
      <vt:lpstr>Input sheet 1</vt:lpstr>
      <vt:lpstr>Input sheet 2</vt:lpstr>
      <vt:lpstr>Input sheet 3</vt:lpstr>
      <vt:lpstr>Input sheet 4</vt:lpstr>
      <vt:lpstr>Application sheet</vt:lpstr>
      <vt:lpstr>banana</vt:lpstr>
      <vt:lpstr>avocado</vt:lpstr>
      <vt:lpstr>C</vt:lpstr>
      <vt:lpstr>M</vt:lpstr>
      <vt:lpstr>S</vt:lpstr>
      <vt:lpstr>S1</vt:lpstr>
      <vt:lpstr>N</vt:lpstr>
      <vt:lpstr>N1</vt:lpstr>
      <vt:lpstr>ADDAA1</vt:lpstr>
      <vt:lpstr>ADDAA10</vt:lpstr>
      <vt:lpstr>ADDAA11</vt:lpstr>
      <vt:lpstr>ADDAA12</vt:lpstr>
      <vt:lpstr>ADDAA2</vt:lpstr>
      <vt:lpstr>ADDAA3</vt:lpstr>
      <vt:lpstr>ADDAA4</vt:lpstr>
      <vt:lpstr>ADDAA5</vt:lpstr>
      <vt:lpstr>ADDAA6</vt:lpstr>
      <vt:lpstr>ADDAA7</vt:lpstr>
      <vt:lpstr>ADDAA8</vt:lpstr>
      <vt:lpstr>ADDAA9</vt:lpstr>
      <vt:lpstr>ADDAD1</vt:lpstr>
      <vt:lpstr>ADDAD10</vt:lpstr>
      <vt:lpstr>ADDAD11</vt:lpstr>
      <vt:lpstr>ADDAD12</vt:lpstr>
      <vt:lpstr>ADDAD2</vt:lpstr>
      <vt:lpstr>ADDAD3</vt:lpstr>
      <vt:lpstr>ADDAD4</vt:lpstr>
      <vt:lpstr>ADDAD5</vt:lpstr>
      <vt:lpstr>ADDAD6</vt:lpstr>
      <vt:lpstr>ADDAD7</vt:lpstr>
      <vt:lpstr>ADDAD8</vt:lpstr>
      <vt:lpstr>ADDAD9</vt:lpstr>
      <vt:lpstr>ADDAH1</vt:lpstr>
      <vt:lpstr>ADDAH10</vt:lpstr>
      <vt:lpstr>ADDAH11</vt:lpstr>
      <vt:lpstr>ADDAH12</vt:lpstr>
      <vt:lpstr>ADDAH2</vt:lpstr>
      <vt:lpstr>ADDAH3</vt:lpstr>
      <vt:lpstr>ADDAH4</vt:lpstr>
      <vt:lpstr>ADDAH5</vt:lpstr>
      <vt:lpstr>ADDAH6</vt:lpstr>
      <vt:lpstr>ADDAH7</vt:lpstr>
      <vt:lpstr>ADDAH8</vt:lpstr>
      <vt:lpstr>ADDAH9</vt:lpstr>
      <vt:lpstr>ADDAV1</vt:lpstr>
      <vt:lpstr>ADDAV10</vt:lpstr>
      <vt:lpstr>ADDAV11</vt:lpstr>
      <vt:lpstr>ADDAV12</vt:lpstr>
      <vt:lpstr>ADDAV2</vt:lpstr>
      <vt:lpstr>ADDAV3</vt:lpstr>
      <vt:lpstr>ADDAV4</vt:lpstr>
      <vt:lpstr>ADDAV5</vt:lpstr>
      <vt:lpstr>ADDAV6</vt:lpstr>
      <vt:lpstr>ADDAV7</vt:lpstr>
      <vt:lpstr>ADDAV8</vt:lpstr>
      <vt:lpstr>ADDAV9</vt:lpstr>
      <vt:lpstr>ADDEX1</vt:lpstr>
      <vt:lpstr>ADDEX10</vt:lpstr>
      <vt:lpstr>ADDEX11</vt:lpstr>
      <vt:lpstr>ADDEX12</vt:lpstr>
      <vt:lpstr>ADDEX2</vt:lpstr>
      <vt:lpstr>ADDEX3</vt:lpstr>
      <vt:lpstr>ADDEX4</vt:lpstr>
      <vt:lpstr>ADDEX5</vt:lpstr>
      <vt:lpstr>ADDEX6</vt:lpstr>
      <vt:lpstr>ADDEX7</vt:lpstr>
      <vt:lpstr>ADDEX8</vt:lpstr>
      <vt:lpstr>ADDEX9</vt:lpstr>
      <vt:lpstr>ADDFA1</vt:lpstr>
      <vt:lpstr>ADDFA10</vt:lpstr>
      <vt:lpstr>ADDFA11</vt:lpstr>
      <vt:lpstr>ADDFA12</vt:lpstr>
      <vt:lpstr>ADDFA2</vt:lpstr>
      <vt:lpstr>ADDFA3</vt:lpstr>
      <vt:lpstr>ADDFA4</vt:lpstr>
      <vt:lpstr>ADDFA5</vt:lpstr>
      <vt:lpstr>ADDFA6</vt:lpstr>
      <vt:lpstr>ADDFA7</vt:lpstr>
      <vt:lpstr>ADDFA8</vt:lpstr>
      <vt:lpstr>ADDFA9</vt:lpstr>
      <vt:lpstr>ADDHD1</vt:lpstr>
      <vt:lpstr>ADDHD10</vt:lpstr>
      <vt:lpstr>ADDHD11</vt:lpstr>
      <vt:lpstr>ADDHD12</vt:lpstr>
      <vt:lpstr>ADDHD2</vt:lpstr>
      <vt:lpstr>ADDHD3</vt:lpstr>
      <vt:lpstr>ADDHD4</vt:lpstr>
      <vt:lpstr>ADDHD5</vt:lpstr>
      <vt:lpstr>ADDHD6</vt:lpstr>
      <vt:lpstr>ADDHD7</vt:lpstr>
      <vt:lpstr>ADDHD8</vt:lpstr>
      <vt:lpstr>ADDHD9</vt:lpstr>
      <vt:lpstr>ADDSH1</vt:lpstr>
      <vt:lpstr>ADDSH10</vt:lpstr>
      <vt:lpstr>ADDSH11</vt:lpstr>
      <vt:lpstr>ADDSH12</vt:lpstr>
      <vt:lpstr>ADDSH2</vt:lpstr>
      <vt:lpstr>ADDSH3</vt:lpstr>
      <vt:lpstr>ADDSH4</vt:lpstr>
      <vt:lpstr>ADDSH5</vt:lpstr>
      <vt:lpstr>ADDSH6</vt:lpstr>
      <vt:lpstr>ADDSH7</vt:lpstr>
      <vt:lpstr>ADDSH8</vt:lpstr>
      <vt:lpstr>ADDSH9</vt:lpstr>
      <vt:lpstr>APPDATE</vt:lpstr>
      <vt:lpstr>APPSEC</vt:lpstr>
      <vt:lpstr>APPSECTION</vt:lpstr>
      <vt:lpstr>BILLFORM</vt:lpstr>
      <vt:lpstr>BILLNOTE</vt:lpstr>
      <vt:lpstr>BILLSEND</vt:lpstr>
      <vt:lpstr>BILLSENDEX</vt:lpstr>
      <vt:lpstr>BILLTO</vt:lpstr>
      <vt:lpstr>COURSE1</vt:lpstr>
      <vt:lpstr>COURSE10</vt:lpstr>
      <vt:lpstr>COURSE11</vt:lpstr>
      <vt:lpstr>COURSE12</vt:lpstr>
      <vt:lpstr>COURSE2</vt:lpstr>
      <vt:lpstr>COURSE3</vt:lpstr>
      <vt:lpstr>COURSE4</vt:lpstr>
      <vt:lpstr>COURSE5</vt:lpstr>
      <vt:lpstr>COURSE6</vt:lpstr>
      <vt:lpstr>COURSE7</vt:lpstr>
      <vt:lpstr>COURSE8</vt:lpstr>
      <vt:lpstr>COURSE9</vt:lpstr>
      <vt:lpstr>ENDM</vt:lpstr>
      <vt:lpstr>FINAADDR</vt:lpstr>
      <vt:lpstr>FINAAFFI</vt:lpstr>
      <vt:lpstr>FINAJOB</vt:lpstr>
      <vt:lpstr>FINAKANA</vt:lpstr>
      <vt:lpstr>FINANAME</vt:lpstr>
      <vt:lpstr>FINAPOST</vt:lpstr>
      <vt:lpstr>FINATEL</vt:lpstr>
      <vt:lpstr>FINAUTT</vt:lpstr>
      <vt:lpstr>G1ST</vt:lpstr>
      <vt:lpstr>G2ND</vt:lpstr>
      <vt:lpstr>G3RD</vt:lpstr>
      <vt:lpstr>IAGREE</vt:lpstr>
      <vt:lpstr>IREAD</vt:lpstr>
      <vt:lpstr>L</vt:lpstr>
      <vt:lpstr>LANG</vt:lpstr>
      <vt:lpstr>lang_E</vt:lpstr>
      <vt:lpstr>lang_J</vt:lpstr>
      <vt:lpstr>PONUADDR</vt:lpstr>
      <vt:lpstr>PONUAFFI</vt:lpstr>
      <vt:lpstr>PONUCELL</vt:lpstr>
      <vt:lpstr>PONUJOB</vt:lpstr>
      <vt:lpstr>PONUMAIL</vt:lpstr>
      <vt:lpstr>PONUNAME</vt:lpstr>
      <vt:lpstr>PONUPOST</vt:lpstr>
      <vt:lpstr>PONUROM</vt:lpstr>
      <vt:lpstr>PONUTEL</vt:lpstr>
      <vt:lpstr>PONUUTT</vt:lpstr>
      <vt:lpstr>PONUYES</vt:lpstr>
      <vt:lpstr>'Application sheet'!Print_Area</vt:lpstr>
      <vt:lpstr>REPU1ST</vt:lpstr>
      <vt:lpstr>REPU2ND</vt:lpstr>
      <vt:lpstr>REPU3RD</vt:lpstr>
      <vt:lpstr>REPUADDR</vt:lpstr>
      <vt:lpstr>REPUAFFI</vt:lpstr>
      <vt:lpstr>REPUCELL</vt:lpstr>
      <vt:lpstr>REPUJOB</vt:lpstr>
      <vt:lpstr>REPUMAIL</vt:lpstr>
      <vt:lpstr>REPUNAME</vt:lpstr>
      <vt:lpstr>REPUNAT</vt:lpstr>
      <vt:lpstr>REPUPOST</vt:lpstr>
      <vt:lpstr>REPUROM</vt:lpstr>
      <vt:lpstr>REPUSERNAME</vt:lpstr>
      <vt:lpstr>REPUTEL</vt:lpstr>
      <vt:lpstr>REPUUTT</vt:lpstr>
      <vt:lpstr>RES</vt:lpstr>
      <vt:lpstr>STARTM</vt:lpstr>
      <vt:lpstr>STARTY</vt:lpstr>
      <vt:lpstr>TOPIC</vt:lpstr>
      <vt:lpstr>TSSDLP</vt:lpstr>
      <vt:lpstr>TSSDLS</vt:lpstr>
      <vt:lpstr>TSSFULLA</vt:lpstr>
      <vt:lpstr>TSSHDD</vt:lpstr>
      <vt:lpstr>TSSINST</vt:lpstr>
      <vt:lpstr>TSSINSTP</vt:lpstr>
      <vt:lpstr>TSSPARA</vt:lpstr>
      <vt:lpstr>TSSREADO</vt:lpstr>
      <vt:lpstr>TSSSP</vt:lpstr>
      <vt:lpstr>TSSUNIT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SAITO Ayumu</cp:lastModifiedBy>
  <cp:lastPrinted>2021-03-03T16:06:58Z</cp:lastPrinted>
  <dcterms:created xsi:type="dcterms:W3CDTF">2019-01-30T09:52:01Z</dcterms:created>
  <dcterms:modified xsi:type="dcterms:W3CDTF">2025-12-11T13:29:30Z</dcterms:modified>
</cp:coreProperties>
</file>